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defaultThemeVersion="166925"/>
  <mc:AlternateContent xmlns:mc="http://schemas.openxmlformats.org/markup-compatibility/2006">
    <mc:Choice Requires="x15">
      <x15ac:absPath xmlns:x15ac="http://schemas.microsoft.com/office/spreadsheetml/2010/11/ac" url="C:\Users\VinayJindal\Downloads\"/>
    </mc:Choice>
  </mc:AlternateContent>
  <xr:revisionPtr revIDLastSave="0" documentId="13_ncr:1_{C4022DA4-64D1-42BA-8B7D-28D6E584D941}" xr6:coauthVersionLast="47" xr6:coauthVersionMax="47" xr10:uidLastSave="{00000000-0000-0000-0000-000000000000}"/>
  <bookViews>
    <workbookView xWindow="-110" yWindow="-110" windowWidth="19420" windowHeight="10300" tabRatio="805" activeTab="4" xr2:uid="{F34F5CF9-F20A-4143-AA09-7A7BFC9B3981}"/>
  </bookViews>
  <sheets>
    <sheet name="BOQ" sheetId="5" r:id="rId1"/>
    <sheet name="Quantity OHG Full width" sheetId="4" r:id="rId2"/>
    <sheet name="Quantity OHG Half width" sheetId="7" r:id="rId3"/>
    <sheet name="Sheet1" sheetId="6" r:id="rId4"/>
    <sheet name="BBS" sheetId="2" r:id="rId5"/>
  </sheets>
  <definedNames>
    <definedName name="_xlnm.Print_Area" localSheetId="4">BBS!$A$1:$O$63</definedName>
    <definedName name="_xlnm.Print_Area" localSheetId="0">BOQ!$A$1:$G$14</definedName>
    <definedName name="_xlnm.Print_Area" localSheetId="1">'Quantity OHG Full width'!$A$1:$J$56</definedName>
    <definedName name="_xlnm.Print_Area" localSheetId="2">'Quantity OHG Half width'!$A$1:$J$57</definedName>
    <definedName name="_xlnm.Print_Area" localSheetId="3">Sheet1!$A$1:$S$41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5" i="7" l="1"/>
  <c r="G51" i="7"/>
  <c r="B51" i="7"/>
  <c r="D51" i="7" s="1"/>
  <c r="D46" i="7" s="1"/>
  <c r="D54" i="4"/>
  <c r="H50" i="4"/>
  <c r="E50" i="4"/>
  <c r="E45" i="4" s="1"/>
  <c r="C50" i="4"/>
  <c r="D9" i="5"/>
  <c r="D8" i="5"/>
  <c r="D10" i="5"/>
  <c r="D7" i="5"/>
  <c r="D6" i="5"/>
  <c r="D5" i="5"/>
  <c r="H43" i="7"/>
  <c r="H43" i="4"/>
  <c r="D22" i="7"/>
  <c r="D21" i="7"/>
  <c r="D20" i="7"/>
  <c r="D19" i="7"/>
  <c r="D13" i="7"/>
  <c r="D9" i="7"/>
  <c r="D7" i="7"/>
  <c r="I35" i="7" l="1"/>
  <c r="I33" i="7"/>
  <c r="L33" i="7" s="1"/>
  <c r="F31" i="7"/>
  <c r="E31" i="7"/>
  <c r="I31" i="7" s="1"/>
  <c r="H38" i="7" s="1"/>
  <c r="F30" i="7"/>
  <c r="E30" i="7"/>
  <c r="I30" i="7" s="1"/>
  <c r="I29" i="7"/>
  <c r="I28" i="7"/>
  <c r="I27" i="7"/>
  <c r="H37" i="7" s="1"/>
  <c r="I25" i="7"/>
  <c r="H42" i="7" s="1"/>
  <c r="I22" i="7"/>
  <c r="I21" i="7"/>
  <c r="I20" i="7"/>
  <c r="I19" i="7"/>
  <c r="I17" i="7"/>
  <c r="D14" i="7"/>
  <c r="M11" i="7"/>
  <c r="D11" i="7" s="1"/>
  <c r="I11" i="7" s="1"/>
  <c r="E10" i="7"/>
  <c r="D10" i="7"/>
  <c r="I10" i="7" s="1"/>
  <c r="E8" i="7"/>
  <c r="D8" i="7"/>
  <c r="I8" i="7" s="1"/>
  <c r="A8" i="7"/>
  <c r="A9" i="7" s="1"/>
  <c r="A10" i="7" s="1"/>
  <c r="A13" i="7" s="1"/>
  <c r="A14" i="7" s="1"/>
  <c r="A15" i="7" s="1"/>
  <c r="A17" i="7" s="1"/>
  <c r="A19" i="7" s="1"/>
  <c r="A20" i="7" s="1"/>
  <c r="A21" i="7" s="1"/>
  <c r="Q7" i="7"/>
  <c r="N7" i="7"/>
  <c r="N2" i="7" s="1"/>
  <c r="L7" i="7"/>
  <c r="E14" i="7" s="1"/>
  <c r="I14" i="7" s="1"/>
  <c r="E6" i="7"/>
  <c r="I4" i="7"/>
  <c r="H40" i="7" l="1"/>
  <c r="H39" i="7"/>
  <c r="J40" i="7" s="1"/>
  <c r="E9" i="7"/>
  <c r="I9" i="7" s="1"/>
  <c r="E7" i="7"/>
  <c r="I7" i="7" s="1"/>
  <c r="E13" i="7"/>
  <c r="I13" i="7" s="1"/>
  <c r="A22" i="7"/>
  <c r="A25" i="7"/>
  <c r="A27" i="7" s="1"/>
  <c r="A28" i="7" s="1"/>
  <c r="A29" i="7" s="1"/>
  <c r="A30" i="7" s="1"/>
  <c r="A31" i="7" s="1"/>
  <c r="A33" i="7" s="1"/>
  <c r="D6" i="7"/>
  <c r="I6" i="7" s="1"/>
  <c r="D15" i="7"/>
  <c r="I15" i="7" s="1"/>
  <c r="M29" i="7"/>
  <c r="M30" i="7" s="1"/>
  <c r="N43" i="2"/>
  <c r="N37" i="2"/>
  <c r="N33" i="2"/>
  <c r="N28" i="2"/>
  <c r="N21" i="2"/>
  <c r="N60" i="2"/>
  <c r="L56" i="2"/>
  <c r="K56" i="2"/>
  <c r="K51" i="2"/>
  <c r="J56" i="2"/>
  <c r="J51" i="2"/>
  <c r="D57" i="2"/>
  <c r="G57" i="2" s="1"/>
  <c r="D52" i="2"/>
  <c r="G52" i="2" s="1"/>
  <c r="E56" i="2"/>
  <c r="E51" i="2"/>
  <c r="J47" i="2"/>
  <c r="G48" i="2"/>
  <c r="D48" i="2"/>
  <c r="J43" i="2"/>
  <c r="G44" i="2"/>
  <c r="D44" i="2"/>
  <c r="L33" i="2"/>
  <c r="J33" i="2"/>
  <c r="L28" i="2"/>
  <c r="K28" i="2"/>
  <c r="J28" i="2"/>
  <c r="J21" i="2"/>
  <c r="L37" i="2"/>
  <c r="K37" i="2"/>
  <c r="E37" i="2"/>
  <c r="F39" i="2"/>
  <c r="D39" i="2"/>
  <c r="L21" i="2"/>
  <c r="K21" i="2"/>
  <c r="J10" i="5"/>
  <c r="J9" i="5"/>
  <c r="J7" i="5"/>
  <c r="J6" i="5"/>
  <c r="J5" i="5"/>
  <c r="I23" i="7" l="1"/>
  <c r="H41" i="7" s="1"/>
  <c r="D19" i="4"/>
  <c r="L47" i="2"/>
  <c r="L43" i="2"/>
  <c r="I35" i="4"/>
  <c r="I19" i="4" l="1"/>
  <c r="D22" i="4"/>
  <c r="I22" i="4" s="1"/>
  <c r="D21" i="4"/>
  <c r="I21" i="4" s="1"/>
  <c r="D20" i="4"/>
  <c r="I20" i="4" s="1"/>
  <c r="D13" i="4"/>
  <c r="D9" i="4"/>
  <c r="D7" i="4"/>
  <c r="M11" i="4"/>
  <c r="D11" i="4" s="1"/>
  <c r="D8" i="4"/>
  <c r="D6" i="4"/>
  <c r="I29" i="4"/>
  <c r="I28" i="4"/>
  <c r="I27" i="4"/>
  <c r="I25" i="4"/>
  <c r="I17" i="4"/>
  <c r="I4" i="4"/>
  <c r="D15" i="4" l="1"/>
  <c r="A6" i="5"/>
  <c r="A7" i="5" s="1"/>
  <c r="A8" i="5" s="1"/>
  <c r="A9" i="5" s="1"/>
  <c r="A10" i="5" s="1"/>
  <c r="H42" i="4" l="1"/>
  <c r="C8" i="5"/>
  <c r="H37" i="4" l="1"/>
  <c r="F31" i="4"/>
  <c r="E31" i="4"/>
  <c r="F30" i="4"/>
  <c r="E30" i="4"/>
  <c r="I30" i="4" s="1"/>
  <c r="D14" i="4"/>
  <c r="D10" i="4"/>
  <c r="E6" i="4"/>
  <c r="I6" i="4" s="1"/>
  <c r="A8" i="4"/>
  <c r="A9" i="4" s="1"/>
  <c r="A10" i="4" s="1"/>
  <c r="A13" i="4" s="1"/>
  <c r="A14" i="4" s="1"/>
  <c r="A15" i="4" s="1"/>
  <c r="A17" i="4" s="1"/>
  <c r="Q7" i="4"/>
  <c r="L7" i="4"/>
  <c r="E8" i="4" s="1"/>
  <c r="I8" i="4" s="1"/>
  <c r="G59" i="2"/>
  <c r="D59" i="2"/>
  <c r="M56" i="2"/>
  <c r="G54" i="2"/>
  <c r="D54" i="2"/>
  <c r="M51" i="2"/>
  <c r="E48" i="2"/>
  <c r="M47" i="2"/>
  <c r="K47" i="2"/>
  <c r="E44" i="2"/>
  <c r="M43" i="2"/>
  <c r="K43" i="2"/>
  <c r="M37" i="2"/>
  <c r="J37" i="2"/>
  <c r="E36" i="2"/>
  <c r="M33" i="2"/>
  <c r="K33" i="2"/>
  <c r="I33" i="2"/>
  <c r="E32" i="2"/>
  <c r="G30" i="2"/>
  <c r="D30" i="2"/>
  <c r="M28" i="2"/>
  <c r="I28" i="2"/>
  <c r="E28" i="2"/>
  <c r="E27" i="2"/>
  <c r="G24" i="2"/>
  <c r="D24" i="2"/>
  <c r="I21" i="2"/>
  <c r="H21" i="2"/>
  <c r="E21" i="2"/>
  <c r="I31" i="4" l="1"/>
  <c r="M29" i="4"/>
  <c r="M30" i="4" s="1"/>
  <c r="I11" i="4"/>
  <c r="E14" i="4"/>
  <c r="I14" i="4" s="1"/>
  <c r="I15" i="4"/>
  <c r="E10" i="4"/>
  <c r="I10" i="4" s="1"/>
  <c r="N7" i="4"/>
  <c r="N2" i="4" s="1"/>
  <c r="A19" i="4"/>
  <c r="A20" i="4" s="1"/>
  <c r="A21" i="4" s="1"/>
  <c r="M21" i="2"/>
  <c r="L51" i="2"/>
  <c r="N51" i="2" s="1"/>
  <c r="N56" i="2"/>
  <c r="N47" i="2"/>
  <c r="N61" i="2" l="1"/>
  <c r="I33" i="4" s="1"/>
  <c r="A25" i="4"/>
  <c r="A27" i="4" s="1"/>
  <c r="A28" i="4" s="1"/>
  <c r="A29" i="4" s="1"/>
  <c r="A30" i="4" s="1"/>
  <c r="A31" i="4" s="1"/>
  <c r="A33" i="4" s="1"/>
  <c r="A22" i="4"/>
  <c r="H38" i="4"/>
  <c r="H39" i="4"/>
  <c r="E13" i="4"/>
  <c r="I13" i="4" s="1"/>
  <c r="E7" i="4"/>
  <c r="I7" i="4" s="1"/>
  <c r="E9" i="4"/>
  <c r="I9" i="4" s="1"/>
  <c r="I23" i="4" l="1"/>
  <c r="H41" i="4" s="1"/>
  <c r="L33" i="4" l="1"/>
  <c r="H40" i="4"/>
  <c r="J40" i="4" l="1"/>
  <c r="F12" i="5" l="1"/>
  <c r="F13" i="5" s="1"/>
  <c r="F14" i="5" s="1"/>
  <c r="J8" i="5"/>
</calcChain>
</file>

<file path=xl/sharedStrings.xml><?xml version="1.0" encoding="utf-8"?>
<sst xmlns="http://schemas.openxmlformats.org/spreadsheetml/2006/main" count="266" uniqueCount="119">
  <si>
    <t>S.No</t>
  </si>
  <si>
    <t xml:space="preserve">Material Discription </t>
  </si>
  <si>
    <t xml:space="preserve">Nos. </t>
  </si>
  <si>
    <t>Unit</t>
  </si>
  <si>
    <t xml:space="preserve">length (m) </t>
  </si>
  <si>
    <t xml:space="preserve">Breadth (m) </t>
  </si>
  <si>
    <t xml:space="preserve">Height (m)  </t>
  </si>
  <si>
    <t>Qty</t>
  </si>
  <si>
    <t xml:space="preserve">Cum </t>
  </si>
  <si>
    <t>Φ76.10 x 4.50mm Thk. M.S. Pipe (Diagonal End Bars)</t>
  </si>
  <si>
    <t>Φ76.10 x 4.50mm Thk. M.S. Pipe ( Top Horizontal Bars)</t>
  </si>
  <si>
    <t>Φ101.60 x 4.80mm Thk. M.S. Pipe ( Bottom Horizontal Bars)</t>
  </si>
  <si>
    <t>Φ76.10 x 4.50mm Thk. M.S. Pipe ( Top Horizontal End Bars)</t>
  </si>
  <si>
    <t>Φ101.60 x 4.80mm Thk. M.S. Pipe ( Bottom Horizontal End Bars)</t>
  </si>
  <si>
    <t>Φ76.10 x 4.50mm Thk. M.S. Pipe ( Top Chord)</t>
  </si>
  <si>
    <t>Φ101.60 x 4.80mm Thk. M.S. Pipe ( Bottom Chord)</t>
  </si>
  <si>
    <t>Φ152.40 x 5.40mm Thk. M.S. Pipe ( Bottom Chord)</t>
  </si>
  <si>
    <t xml:space="preserve">Φ76.10 x 4.50mm Thk. M.S. Pipe ( Diagonal Bars) </t>
  </si>
  <si>
    <t xml:space="preserve">Φ76.10 x 4.50mm Thk. M.S. Pipe ( Verticle Bars) </t>
  </si>
  <si>
    <t xml:space="preserve">Φ355.60 x 9.80mm Thk. M.S. Pipe </t>
  </si>
  <si>
    <t xml:space="preserve">Base Plate </t>
  </si>
  <si>
    <t>RCC M30 (Pedestal)</t>
  </si>
  <si>
    <t>PCC M15 (Leveling Course)</t>
  </si>
  <si>
    <t>MS PIPE</t>
  </si>
  <si>
    <t>CONCRETE</t>
  </si>
  <si>
    <t>STEEL</t>
  </si>
  <si>
    <t>STRUCTURAL COMPONENTS</t>
  </si>
  <si>
    <t>PROJECT:</t>
  </si>
  <si>
    <t>CLIENT:</t>
  </si>
  <si>
    <t xml:space="preserve">CONCESSIONAIRE: </t>
  </si>
  <si>
    <t xml:space="preserve">PEDESTAL LENGTH </t>
  </si>
  <si>
    <t>PEDESTAL COVER</t>
  </si>
  <si>
    <t>PEDESTAL HEIGHT</t>
  </si>
  <si>
    <t xml:space="preserve">PEDESTAL STIRRUPS </t>
  </si>
  <si>
    <t xml:space="preserve">mm </t>
  </si>
  <si>
    <t xml:space="preserve">Spacing </t>
  </si>
  <si>
    <t>mm</t>
  </si>
  <si>
    <t xml:space="preserve">PEDESTAL VERTICAL BARS </t>
  </si>
  <si>
    <t xml:space="preserve">nos. </t>
  </si>
  <si>
    <t>PEDESTAL VERTICAL BARS (Ld- Horizontal)</t>
  </si>
  <si>
    <t xml:space="preserve">FOOTING LENGTH </t>
  </si>
  <si>
    <t xml:space="preserve">FOOTING BREADTH </t>
  </si>
  <si>
    <t xml:space="preserve">FOOTING HEIGHT (Rectangular) </t>
  </si>
  <si>
    <t xml:space="preserve">FOOTING HEIGHT (Trapezoid) </t>
  </si>
  <si>
    <t>FOOTING COVER</t>
  </si>
  <si>
    <t>BAR MARK</t>
  </si>
  <si>
    <t>FUNCTION OF BAR</t>
  </si>
  <si>
    <t>STRUCTURE PART</t>
  </si>
  <si>
    <t>SHAPE OF BAR</t>
  </si>
  <si>
    <t>BAR DIA(MM)</t>
  </si>
  <si>
    <t>SPACING</t>
  </si>
  <si>
    <t>NO. OF BARS</t>
  </si>
  <si>
    <t>BEND DEDUCTION</t>
  </si>
  <si>
    <t>TOTAL CUTTING LENGTH (METERS)</t>
  </si>
  <si>
    <t>UNIT WEIGHT(KG/MTR)</t>
  </si>
  <si>
    <t>TOTAL WEIGHT (KG)</t>
  </si>
  <si>
    <t>REMARKS</t>
  </si>
  <si>
    <t xml:space="preserve">Pedestal </t>
  </si>
  <si>
    <t>Stirrups</t>
  </si>
  <si>
    <t xml:space="preserve">Stirrups </t>
  </si>
  <si>
    <t xml:space="preserve">Vertical Bar </t>
  </si>
  <si>
    <t xml:space="preserve">Footing </t>
  </si>
  <si>
    <t xml:space="preserve">Bottom longitudinal Reinforcement  </t>
  </si>
  <si>
    <t xml:space="preserve">Bottom Transverse Reinforcement  </t>
  </si>
  <si>
    <t xml:space="preserve">Top  longitudinal Reinforcement  </t>
  </si>
  <si>
    <t xml:space="preserve">Top  Transverse Reinforcement  </t>
  </si>
  <si>
    <r>
      <t xml:space="preserve">DOCUMENT: BBS OF </t>
    </r>
    <r>
      <rPr>
        <b/>
        <sz val="9"/>
        <color rgb="FFFF0000"/>
        <rFont val="Popins"/>
      </rPr>
      <t>STRUCTURE</t>
    </r>
    <r>
      <rPr>
        <b/>
        <sz val="9"/>
        <color theme="1"/>
        <rFont val="Popins"/>
      </rPr>
      <t xml:space="preserve"> AT CH. KM. </t>
    </r>
    <r>
      <rPr>
        <b/>
        <sz val="9"/>
        <color rgb="FFFF0000"/>
        <rFont val="Popins"/>
      </rPr>
      <t>00+000</t>
    </r>
  </si>
  <si>
    <t xml:space="preserve">Dimensions </t>
  </si>
  <si>
    <t xml:space="preserve">Unit </t>
  </si>
  <si>
    <t>Quantity</t>
  </si>
  <si>
    <t xml:space="preserve">Total Steel Quantity </t>
  </si>
  <si>
    <t xml:space="preserve">BOTTOM FOOTING REINFORCEMENT (Both Sides)  </t>
  </si>
  <si>
    <t>TOP FOOTING REINFORCEMENT (Both Sides)</t>
  </si>
  <si>
    <t xml:space="preserve">Spacing /nos. of Bar </t>
  </si>
  <si>
    <t>TOTAL WEIGHT OF REINFORCEMET IN KG == &gt;&gt;&gt;</t>
  </si>
  <si>
    <t>TOTAL WEIGHT OF REINFORCEMET IN MT == &gt;&gt;&gt;</t>
  </si>
  <si>
    <t>MT</t>
  </si>
  <si>
    <t>RCC M30 (Footing) - Rectangular</t>
  </si>
  <si>
    <t>RCC M30 (Footing) - Trapezoidal Frustum</t>
  </si>
  <si>
    <t xml:space="preserve">Excavation </t>
  </si>
  <si>
    <t xml:space="preserve">Description of work </t>
  </si>
  <si>
    <t>Rate</t>
  </si>
  <si>
    <t>Amount 
(Rs.)</t>
  </si>
  <si>
    <t xml:space="preserve">Remarks </t>
  </si>
  <si>
    <t>Cum</t>
  </si>
  <si>
    <t xml:space="preserve">TOTAL STRUCTURAL STEEL </t>
  </si>
  <si>
    <t>Sqm</t>
  </si>
  <si>
    <t>Retroreflectorized Sign Board</t>
  </si>
  <si>
    <t>Summary</t>
  </si>
  <si>
    <t>Excavation</t>
  </si>
  <si>
    <t>PCC M15</t>
  </si>
  <si>
    <t>RCC M30</t>
  </si>
  <si>
    <t>HYSD</t>
  </si>
  <si>
    <t>Structural Steel</t>
  </si>
  <si>
    <t>Retro reflective Sheet</t>
  </si>
  <si>
    <t>Unit Weight</t>
  </si>
  <si>
    <t>Nos of Gantry</t>
  </si>
  <si>
    <t>Nos of Gantry Overhead Gantry</t>
  </si>
  <si>
    <t>Stiffener Plate (12mm) for top and bottom</t>
  </si>
  <si>
    <t>Bolts (M24) Bottom</t>
  </si>
  <si>
    <t>Bolts (M24) Top</t>
  </si>
  <si>
    <t>Kg</t>
  </si>
  <si>
    <t>Base Plate Grouting</t>
  </si>
  <si>
    <t>LS</t>
  </si>
  <si>
    <t>Detailed design and drawing @4% of total construction cost</t>
  </si>
  <si>
    <t>Measurement Sheet For OverHead Sign Board Ch. 262.000 &amp; 419.450 ( Welcome &amp; Thankyou)</t>
  </si>
  <si>
    <t>Measurement Sheet For OverHead Sign Board Ch. 413.550 LHS &amp; 414.200 RHS (Religious)</t>
  </si>
  <si>
    <t>NHIT SOUTHERN PROJECTS PRIVATE LIMITED</t>
  </si>
  <si>
    <t>Project:- Tolling, Operation, Maintenance &amp; Transfer of Four lane Bareilly -Sitapur NH-30 project from km-262.000 to Km. 419.570 in the state of Uttar Pradesh</t>
  </si>
  <si>
    <r>
      <rPr>
        <b/>
        <sz val="10"/>
        <color theme="4" tint="-0.249977111117893"/>
        <rFont val="Poppins"/>
      </rPr>
      <t xml:space="preserve">Excavation in soil </t>
    </r>
    <r>
      <rPr>
        <b/>
        <sz val="10"/>
        <color theme="1"/>
        <rFont val="Poppins"/>
      </rPr>
      <t xml:space="preserve">
</t>
    </r>
    <r>
      <rPr>
        <b/>
        <u/>
        <sz val="10"/>
        <color theme="1"/>
        <rFont val="Poppins"/>
      </rPr>
      <t>Scope of Work :</t>
    </r>
    <r>
      <rPr>
        <sz val="10"/>
        <color theme="1"/>
        <rFont val="Poppins"/>
      </rPr>
      <t xml:space="preserve"> This work includes excavation of soil for roadway formation using Manual or mechanical means such as dozers, including cutting, pushing, and transporting excavated material to the embankment site or designated dumping area with all lifts. 
</t>
    </r>
    <r>
      <rPr>
        <b/>
        <u/>
        <sz val="10"/>
        <color theme="1"/>
        <rFont val="Poppins"/>
      </rPr>
      <t xml:space="preserve">Execution Requirements: 
</t>
    </r>
    <r>
      <rPr>
        <sz val="10"/>
        <color theme="1"/>
        <rFont val="Poppins"/>
      </rPr>
      <t xml:space="preserve">1) The excavation shall be carried out by Manual or Mechanical means using dozers as per the alignment, levels, and depth shown on the drawings.
2) Excavated soil shall be hauled and deposited at embankment or approved dumping locations.
3) Over-excavation shall be avoided, and all work shall strictly adhere to specified cross-sectional tolerances. The entire operation shall be executed in conformity with MoRTH Clause 301.3.1 to 301.3.4.
</t>
    </r>
    <r>
      <rPr>
        <b/>
        <u/>
        <sz val="10"/>
        <color theme="1"/>
        <rFont val="Poppins"/>
      </rPr>
      <t>Rate Inclusion:</t>
    </r>
    <r>
      <rPr>
        <u/>
        <sz val="10"/>
        <color theme="1"/>
        <rFont val="Poppins"/>
      </rPr>
      <t xml:space="preserve"> I</t>
    </r>
    <r>
      <rPr>
        <sz val="10"/>
        <color theme="1"/>
        <rFont val="Poppins"/>
      </rPr>
      <t xml:space="preserve">nclude the cost of deployment and operation of all manual or mechanical equipment, along with excavation, loading, hauling, unloading, and deposition of soil. It shall also include incidental works, safety arrangements and compliance with environmental safeguards and directions of the Engineer-in-Charge.
</t>
    </r>
    <r>
      <rPr>
        <b/>
        <sz val="10"/>
        <color theme="1"/>
        <rFont val="Poppins"/>
      </rPr>
      <t>Relavant Specification :-MoRTH Specifications, Clause 301.3.1 to 301.3.4.</t>
    </r>
  </si>
  <si>
    <r>
      <rPr>
        <b/>
        <sz val="10"/>
        <color theme="4" tint="-0.249977111117893"/>
        <rFont val="Poppins"/>
      </rPr>
      <t>Plain Cement Concrete (PCC-M15) in Foundation -With Batching Plant,  With Batching Plant,  Transit Mixer and Manual placing</t>
    </r>
    <r>
      <rPr>
        <b/>
        <sz val="10"/>
        <color theme="1"/>
        <rFont val="Poppins"/>
      </rPr>
      <t xml:space="preserve">
</t>
    </r>
    <r>
      <rPr>
        <b/>
        <u/>
        <sz val="10"/>
        <color theme="1"/>
        <rFont val="Poppins"/>
      </rPr>
      <t>Scope of Work :</t>
    </r>
    <r>
      <rPr>
        <sz val="10"/>
        <color theme="1"/>
        <rFont val="Poppins"/>
      </rPr>
      <t xml:space="preserve"> Construction of Plain Cement Concrete (PCC) in  foundation. The concrete shall be produced using batching plant, transported through transit mixers, and placed manually at site.
</t>
    </r>
    <r>
      <rPr>
        <b/>
        <u/>
        <sz val="10"/>
        <color theme="1"/>
        <rFont val="Poppins"/>
      </rPr>
      <t xml:space="preserve">Execution Requirements: 
</t>
    </r>
    <r>
      <rPr>
        <sz val="10"/>
        <color theme="1"/>
        <rFont val="Poppins"/>
      </rPr>
      <t xml:space="preserve">1) Excavation and preparation of foundation bed to the required level.
2) Production of concrete in a batching plant as per approved mix design.
3) Transportation of concrete to site using transit mixers and manual placing into formwork.
4) Compaction using mechanical vibrators to achieve required density.
5) Surface finishing and proper curing for a minimum of 7 days to ensure strength and durability.
</t>
    </r>
    <r>
      <rPr>
        <b/>
        <u/>
        <sz val="10"/>
        <color theme="1"/>
        <rFont val="Poppins"/>
      </rPr>
      <t>Rate Inclusion:</t>
    </r>
    <r>
      <rPr>
        <sz val="10"/>
        <color theme="1"/>
        <rFont val="Poppins"/>
      </rPr>
      <t xml:space="preserve">The quoted rate shall include the cost of all materials (cement, coarse and fine aggregates, water, admixtures if required), batching, mixing, transit mixer transport, labour, machinery, formwork, placing, compaction, finishing, curing, and incidental works. It shall also include all safety provisions and compliance with environmental and quality requirements as per directions of the Engineer-in-Charge.
</t>
    </r>
  </si>
  <si>
    <r>
      <rPr>
        <b/>
        <sz val="10"/>
        <color theme="4" tint="-0.249977111117893"/>
        <rFont val="Poppins"/>
      </rPr>
      <t>Reinforcement Cement Concrete (RCC-M30) in Foundation -With Batching Plant,  With Batching Plant,  Transit Mixer and Manual placing</t>
    </r>
    <r>
      <rPr>
        <b/>
        <sz val="10"/>
        <color theme="1"/>
        <rFont val="Poppins"/>
      </rPr>
      <t xml:space="preserve">
</t>
    </r>
    <r>
      <rPr>
        <b/>
        <u/>
        <sz val="10"/>
        <color theme="1"/>
        <rFont val="Poppins"/>
      </rPr>
      <t>Scope of Work :</t>
    </r>
    <r>
      <rPr>
        <sz val="10"/>
        <color theme="1"/>
        <rFont val="Poppins"/>
      </rPr>
      <t xml:space="preserve"> Construction of Reinforcement Cement Concrete (RCC-M30) in foundation. The concrete shall be produced using batching plant, transported through transit mixers, and placed manually at site.
</t>
    </r>
    <r>
      <rPr>
        <b/>
        <u/>
        <sz val="10"/>
        <color theme="1"/>
        <rFont val="Poppins"/>
      </rPr>
      <t xml:space="preserve">Execution Requirements: 
</t>
    </r>
    <r>
      <rPr>
        <sz val="10"/>
        <color theme="1"/>
        <rFont val="Poppins"/>
      </rPr>
      <t xml:space="preserve">1) Excavation and preparation of foundation bed to the required level.
2) Production of concrete in a batching plant as per approved mix design.
3) Transportation of concrete to site using transit mixers and manual placing into formwork.
4) Compaction using mechanical vibrators to achieve required density.
5) Surface finishing and proper curing for a minimum of 7 days to ensure strength and durability.
</t>
    </r>
    <r>
      <rPr>
        <b/>
        <u/>
        <sz val="10"/>
        <color theme="1"/>
        <rFont val="Poppins"/>
      </rPr>
      <t>Rate Inclusion:</t>
    </r>
    <r>
      <rPr>
        <sz val="10"/>
        <color theme="1"/>
        <rFont val="Poppins"/>
      </rPr>
      <t xml:space="preserve">The quoted rate shall include the cost of all materials (cement, coarse and fine aggregates, water, admixtures if required), batching, mixing, transit mixer transport, labour, machinery, formwork, placing, compaction, finishing, curing, and incidental works. It shall also include all safety provisions and compliance with environmental and quality requirements as per directions of the Engineer-in-Charge.
</t>
    </r>
  </si>
  <si>
    <r>
      <rPr>
        <b/>
        <sz val="10"/>
        <color theme="4" tint="-0.249977111117893"/>
        <rFont val="Poppins"/>
      </rPr>
      <t>Supplying, Fitting, and Placing HYSD Bar Reinforcement in Foundation</t>
    </r>
    <r>
      <rPr>
        <b/>
        <sz val="10"/>
        <color theme="1"/>
        <rFont val="Poppins"/>
      </rPr>
      <t xml:space="preserve">
</t>
    </r>
    <r>
      <rPr>
        <b/>
        <u/>
        <sz val="10"/>
        <color theme="1"/>
        <rFont val="Poppins"/>
      </rPr>
      <t>Scope of Work :</t>
    </r>
    <r>
      <rPr>
        <sz val="10"/>
        <color theme="1"/>
        <rFont val="Poppins"/>
      </rPr>
      <t xml:space="preserve"> This work includes supplying, cutting, bending, binding, and placing uncoated HYSD bars in foundations as per the approved bar bending schedule. It also includes providing and fixing binding wire, supports, and chairs necessary to maintain spacing and cover.
</t>
    </r>
    <r>
      <rPr>
        <b/>
        <u/>
        <sz val="10"/>
        <color theme="1"/>
        <rFont val="Poppins"/>
      </rPr>
      <t xml:space="preserve">Execution Requirements: 
</t>
    </r>
    <r>
      <rPr>
        <sz val="10"/>
        <color theme="1"/>
        <rFont val="Poppins"/>
      </rPr>
      <t xml:space="preserve">1) Steel shall conform to IS:1786.
2) Bars shall be cleaned of rust, oil, mud, or other contaminants before use.
3) Reinforcement shall be cut, bent, and fixed as per approved drawings, ensuring specified cover, laps, and alignment.
4) Binding with annealed wire and supports/chairs shall be provided to maintain correct position during concreting.
</t>
    </r>
    <r>
      <rPr>
        <b/>
        <u/>
        <sz val="10"/>
        <color theme="1"/>
        <rFont val="Poppins"/>
      </rPr>
      <t>Rate Inclusion:</t>
    </r>
    <r>
      <rPr>
        <u/>
        <sz val="10"/>
        <color theme="1"/>
        <rFont val="Poppins"/>
      </rPr>
      <t xml:space="preserve"> </t>
    </r>
    <r>
      <rPr>
        <sz val="10"/>
        <color theme="1"/>
        <rFont val="Poppins"/>
      </rPr>
      <t xml:space="preserve">The quoted rate shall include the cost of HYSD steel, cutting, bending, placing, labour charges, binding wire, supports, chairs, tools, and incidental works. It shall also cover safety provisions and cutting/bending operations, as well as compliance with the Engineer-in-Charge’s directions.
</t>
    </r>
    <r>
      <rPr>
        <b/>
        <sz val="10"/>
        <color theme="1"/>
        <rFont val="Poppins"/>
      </rPr>
      <t>Relavant Specification :-MoRTH SpecificationsClause 1600; IS:1786; IS:2502.</t>
    </r>
  </si>
  <si>
    <r>
      <rPr>
        <b/>
        <sz val="10"/>
        <color theme="4" tint="-0.249977111117893"/>
        <rFont val="Poppins"/>
      </rPr>
      <t>Providing and Fixing of Retroreflectorized sheeting for Overhead gantry (Type XI Sheeting)</t>
    </r>
    <r>
      <rPr>
        <b/>
        <sz val="10"/>
        <color theme="1"/>
        <rFont val="Poppins"/>
      </rPr>
      <t xml:space="preserve">
</t>
    </r>
    <r>
      <rPr>
        <b/>
        <u/>
        <sz val="10"/>
        <color theme="1"/>
        <rFont val="Poppins"/>
      </rPr>
      <t>Scope of Work :</t>
    </r>
    <r>
      <rPr>
        <sz val="10"/>
        <color theme="1"/>
        <rFont val="Poppins"/>
      </rPr>
      <t xml:space="preserve"> Providing and fixing of retroreflectorized Sheeting as per</t>
    </r>
    <r>
      <rPr>
        <b/>
        <sz val="10"/>
        <color theme="1"/>
        <rFont val="Poppins"/>
      </rPr>
      <t xml:space="preserve"> IRC:67-2022 </t>
    </r>
    <r>
      <rPr>
        <sz val="10"/>
        <color theme="1"/>
        <rFont val="Poppins"/>
      </rPr>
      <t>and</t>
    </r>
    <r>
      <rPr>
        <b/>
        <sz val="10"/>
        <color theme="1"/>
        <rFont val="Poppins"/>
      </rPr>
      <t xml:space="preserve"> MoRTH Clause 801.3</t>
    </r>
    <r>
      <rPr>
        <sz val="10"/>
        <color theme="1"/>
        <rFont val="Poppins"/>
      </rPr>
      <t xml:space="preserve">, using encapsulated lens type reflective sheeting conforming to ASTM D4956 Type XI (Premium Microprismatic Sheeting), designed for maximum brightness and nighttime visibility. Reflective sheeting shall be fixed on 2 mm thick aluminum sheets or 4 mm thick ACM sheets, ensuring strength, durability, and weather resistance. Signs shall be of prescribed dimensions and color schemes as per IRC:67-2022, categorized as:
</t>
    </r>
    <r>
      <rPr>
        <b/>
        <u/>
        <sz val="10"/>
        <color theme="1"/>
        <rFont val="Poppins"/>
      </rPr>
      <t xml:space="preserve">Execution Requirements: 
</t>
    </r>
    <r>
      <rPr>
        <sz val="10"/>
        <color theme="1"/>
        <rFont val="Poppins"/>
      </rPr>
      <t xml:space="preserve">1) Type XI premium microprismatic sheeting (ASTM D4956) shall be applied on clean, smooth aluminum/ACM panels using approved pressure-sensitive or heat-activated adhesive. 
2) Surfaces shall be cleaned and prepared before application. Borders, symbols, and legends shall conform to IRC:67-2022 specifications.
3)  Edges shall be sealed to prevent moisture ingress, and finished signs shall be tested for color and retroreflectivity as per IRC:67-2022 and ASTM D4956 before installation.
</t>
    </r>
    <r>
      <rPr>
        <b/>
        <u/>
        <sz val="10"/>
        <color theme="1"/>
        <rFont val="Poppins"/>
      </rPr>
      <t>Rate Inclusion:</t>
    </r>
    <r>
      <rPr>
        <b/>
        <sz val="10"/>
        <color theme="1"/>
        <rFont val="Poppins"/>
      </rPr>
      <t xml:space="preserve"> </t>
    </r>
    <r>
      <rPr>
        <sz val="10"/>
        <color theme="1"/>
        <rFont val="Poppins"/>
      </rPr>
      <t xml:space="preserve">The rate shall include the cost of Type XI premium microprismatic reflective sheeting, aluminum/ACM panels, approved adhesives, edge sealing materials, and all tools, labour, and equipment required for surface preparation, application, and finishing. It shall cover inspection and testing for retroreflectivity and color compliance, as well as safety measures during execution.
</t>
    </r>
    <r>
      <rPr>
        <b/>
        <u/>
        <sz val="10"/>
        <color theme="1"/>
        <rFont val="Poppins"/>
      </rPr>
      <t xml:space="preserve">Warranty &amp; Compliance: </t>
    </r>
    <r>
      <rPr>
        <sz val="10"/>
        <color theme="1"/>
        <rFont val="Poppins"/>
      </rPr>
      <t xml:space="preserve">Only approved makes such as 3M or equivalent are permitted. The contractor shall provide a 10-year warranty for the retro-reflective sheeting from the original manufacturer along with a certified 3-year outdoor exposure test report from an independent laboratory, and compliance certificates for </t>
    </r>
    <r>
      <rPr>
        <b/>
        <sz val="10"/>
        <color theme="1"/>
        <rFont val="Poppins"/>
      </rPr>
      <t>IRC:67-2022 and ASTM D4956.
Relavant Specification :-  IRC:67-2022 ,  MoRTH Clause 801.3, ASTM D4956</t>
    </r>
  </si>
  <si>
    <t xml:space="preserve">BILL OF QUANTITIES(BOQ)- Overhead Gantry </t>
  </si>
  <si>
    <t>GST - 18%</t>
  </si>
  <si>
    <t>Total Amount incl.GST (Rs.)</t>
  </si>
  <si>
    <t>Amount (Rs.)</t>
  </si>
  <si>
    <r>
      <rPr>
        <b/>
        <sz val="10"/>
        <color theme="4" tint="-0.249977111117893"/>
        <rFont val="Poppins"/>
      </rPr>
      <t xml:space="preserve">Supplying, Fabrication and Installation of Structural Steel </t>
    </r>
    <r>
      <rPr>
        <b/>
        <sz val="10"/>
        <color theme="1"/>
        <rFont val="Poppins"/>
      </rPr>
      <t xml:space="preserve">
</t>
    </r>
    <r>
      <rPr>
        <b/>
        <u/>
        <sz val="10"/>
        <color theme="1"/>
        <rFont val="Poppins"/>
      </rPr>
      <t xml:space="preserve">Scope of Work : </t>
    </r>
    <r>
      <rPr>
        <sz val="10"/>
        <color theme="1"/>
        <rFont val="Poppins"/>
      </rPr>
      <t xml:space="preserve">The work covers supplying, cutting, transporting, fabricating, and placing uncoated structural steel members as per approved drawings and technical specifications. The structural members include Stiffner Plate, base plates and Bolts.
</t>
    </r>
    <r>
      <rPr>
        <b/>
        <u/>
        <sz val="10"/>
        <color theme="1"/>
        <rFont val="Poppins"/>
      </rPr>
      <t xml:space="preserve">Execution Requirements: 
</t>
    </r>
    <r>
      <rPr>
        <sz val="10"/>
        <color theme="1"/>
        <rFont val="Poppins"/>
      </rPr>
      <t xml:space="preserve">1) All structural members shall be cut, fabricated, and assembled with proper welding or bolting in accordance with IS 816 and IS 9595. 
2) Placement shall be carried out ensuring correct alignment and level.
</t>
    </r>
    <r>
      <rPr>
        <b/>
        <u/>
        <sz val="10"/>
        <color theme="1"/>
        <rFont val="Poppins"/>
      </rPr>
      <t xml:space="preserve">Rate Inclusion: </t>
    </r>
    <r>
      <rPr>
        <sz val="10"/>
        <color theme="1"/>
        <rFont val="Poppins"/>
      </rPr>
      <t xml:space="preserve">The rate shall include cost of supplying reinforcement steel, transportation to site, cutting, , binding, placing, provision of wastage, base plate grouting and incidental works. It also includes labour, tools, tackles, and safety measures (PPE, barricading).
</t>
    </r>
    <r>
      <rPr>
        <b/>
        <sz val="10"/>
        <color theme="1"/>
        <rFont val="Poppins"/>
      </rPr>
      <t xml:space="preserve">Relevant Specification: IS 816 and IS 9595.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</si>
</sst>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64" formatCode="0.000"/>
    <numFmt numFmtId="165" formatCode="_ * #,##0.000_ ;_ * \-#,##0.000_ ;_ * &quot;-&quot;??_ ;_ @_ "/>
    <numFmt numFmtId="166" formatCode="_ * #,##0_ ;_ * \-#,##0_ ;_ * &quot;-&quot;??_ ;_ @_ "/>
    <numFmt numFmtId="167" formatCode="_(* #,##0_);_(* \(#,##0\);_(* &quot;-&quot;??_);_(@_)"/>
    <numFmt numFmtId="168" formatCode="_ * #,##0.0000_ ;_ * \-#,##0.0000_ ;_ * &quot;-&quot;??_ ;_ @_ "/>
  </numFmts>
  <fonts count="21">
    <font>
      <sz val="11"/>
      <color theme="1"/>
      <name val="Calibri"/>
      <family val="2"/>
      <scheme val="minor"/>
    </font>
    <font>
      <sz val="11"/>
      <color theme="1"/>
      <name val="Calibri"/>
      <family val="2"/>
      <scheme val="minor"/>
    </font>
    <font>
      <sz val="9"/>
      <color theme="1"/>
      <name val="Poppins"/>
    </font>
    <font>
      <sz val="9"/>
      <color theme="0"/>
      <name val="Poppins"/>
    </font>
    <font>
      <b/>
      <sz val="9"/>
      <color theme="1"/>
      <name val="Poppins"/>
    </font>
    <font>
      <b/>
      <sz val="11"/>
      <color theme="1"/>
      <name val="Poppins"/>
    </font>
    <font>
      <b/>
      <sz val="10"/>
      <color theme="1"/>
      <name val="Calibri"/>
      <family val="2"/>
      <scheme val="minor"/>
    </font>
    <font>
      <sz val="10"/>
      <color theme="1"/>
      <name val="Calibri"/>
      <family val="2"/>
      <scheme val="minor"/>
    </font>
    <font>
      <b/>
      <sz val="9"/>
      <color theme="1"/>
      <name val="Popins"/>
    </font>
    <font>
      <sz val="9"/>
      <color theme="1"/>
      <name val="Popins"/>
    </font>
    <font>
      <b/>
      <sz val="9"/>
      <color rgb="FFFF0000"/>
      <name val="Popins"/>
    </font>
    <font>
      <b/>
      <sz val="9"/>
      <color rgb="FFFF0000"/>
      <name val="Poppins"/>
    </font>
    <font>
      <sz val="9"/>
      <color rgb="FFFF0000"/>
      <name val="Poppins"/>
    </font>
    <font>
      <sz val="9"/>
      <name val="Poppins"/>
    </font>
    <font>
      <b/>
      <i/>
      <sz val="10"/>
      <color theme="1"/>
      <name val="Poppins"/>
    </font>
    <font>
      <sz val="10"/>
      <color theme="1"/>
      <name val="Poppins"/>
    </font>
    <font>
      <b/>
      <i/>
      <sz val="10"/>
      <name val="Poppins"/>
    </font>
    <font>
      <b/>
      <sz val="10"/>
      <color theme="1"/>
      <name val="Poppins"/>
    </font>
    <font>
      <b/>
      <sz val="10"/>
      <color theme="4" tint="-0.249977111117893"/>
      <name val="Poppins"/>
    </font>
    <font>
      <b/>
      <u/>
      <sz val="10"/>
      <color theme="1"/>
      <name val="Poppins"/>
    </font>
    <font>
      <u/>
      <sz val="10"/>
      <color theme="1"/>
      <name val="Poppins"/>
    </font>
  </fonts>
  <fills count="9">
    <fill>
      <patternFill patternType="none"/>
    </fill>
    <fill>
      <patternFill patternType="gray125"/>
    </fill>
    <fill>
      <patternFill patternType="solid">
        <fgColor theme="4" tint="-0.49998474074526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rgb="FF92D050"/>
        <bgColor indexed="64"/>
      </patternFill>
    </fill>
    <fill>
      <patternFill patternType="solid">
        <fgColor theme="9" tint="0.399975585192419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cellStyleXfs>
  <cellXfs count="191">
    <xf numFmtId="0" fontId="0" fillId="0" borderId="0" xfId="0"/>
    <xf numFmtId="0" fontId="2" fillId="0" borderId="0" xfId="0" applyFont="1"/>
    <xf numFmtId="0" fontId="2" fillId="0" borderId="1" xfId="0" applyFont="1" applyBorder="1" applyAlignment="1">
      <alignment horizontal="center"/>
    </xf>
    <xf numFmtId="0" fontId="2" fillId="0" borderId="0" xfId="0" applyFont="1" applyAlignment="1">
      <alignment horizontal="center"/>
    </xf>
    <xf numFmtId="0" fontId="2" fillId="0" borderId="1" xfId="0" applyFont="1" applyBorder="1"/>
    <xf numFmtId="2" fontId="2" fillId="0" borderId="1" xfId="0" applyNumberFormat="1" applyFont="1" applyBorder="1"/>
    <xf numFmtId="0" fontId="3" fillId="2"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3" fillId="2" borderId="1" xfId="0" applyFont="1" applyFill="1" applyBorder="1" applyAlignment="1">
      <alignment horizontal="center" vertical="center" wrapText="1"/>
    </xf>
    <xf numFmtId="164" fontId="2" fillId="0" borderId="1" xfId="0" applyNumberFormat="1" applyFont="1" applyBorder="1"/>
    <xf numFmtId="0" fontId="8" fillId="0" borderId="0" xfId="0" applyFont="1"/>
    <xf numFmtId="0" fontId="9" fillId="0" borderId="0" xfId="0" applyFont="1"/>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 xfId="0" applyFont="1" applyBorder="1" applyAlignment="1">
      <alignment horizontal="centerContinuous" vertical="center" wrapText="1"/>
    </xf>
    <xf numFmtId="0" fontId="9" fillId="0" borderId="5" xfId="0" applyFont="1" applyBorder="1"/>
    <xf numFmtId="0" fontId="9" fillId="6" borderId="7" xfId="0" applyFont="1" applyFill="1" applyBorder="1"/>
    <xf numFmtId="0" fontId="9" fillId="0" borderId="8" xfId="0" applyFont="1" applyBorder="1"/>
    <xf numFmtId="0" fontId="9" fillId="6" borderId="0" xfId="0" applyFont="1" applyFill="1"/>
    <xf numFmtId="0" fontId="9" fillId="6" borderId="10" xfId="0" applyFont="1" applyFill="1" applyBorder="1"/>
    <xf numFmtId="0" fontId="9" fillId="6" borderId="6" xfId="0" applyFont="1" applyFill="1" applyBorder="1"/>
    <xf numFmtId="0" fontId="9" fillId="0" borderId="9" xfId="0" applyFont="1" applyBorder="1"/>
    <xf numFmtId="0" fontId="9" fillId="0" borderId="11" xfId="0" applyFont="1" applyBorder="1"/>
    <xf numFmtId="0" fontId="9" fillId="6" borderId="9" xfId="0" applyFont="1" applyFill="1" applyBorder="1"/>
    <xf numFmtId="0" fontId="9" fillId="0" borderId="0" xfId="0" applyFont="1" applyAlignment="1">
      <alignment horizontal="right"/>
    </xf>
    <xf numFmtId="0" fontId="9" fillId="6" borderId="11" xfId="0" applyFont="1" applyFill="1" applyBorder="1"/>
    <xf numFmtId="0" fontId="9" fillId="0" borderId="0" xfId="0" applyFont="1" applyAlignment="1">
      <alignment horizontal="left"/>
    </xf>
    <xf numFmtId="0" fontId="9" fillId="6" borderId="12" xfId="0" applyFont="1" applyFill="1" applyBorder="1"/>
    <xf numFmtId="0" fontId="9" fillId="6" borderId="13" xfId="0" applyFont="1" applyFill="1" applyBorder="1"/>
    <xf numFmtId="0" fontId="9" fillId="0" borderId="14" xfId="0" applyFont="1" applyBorder="1"/>
    <xf numFmtId="0" fontId="9" fillId="6" borderId="15" xfId="0" applyFont="1" applyFill="1" applyBorder="1"/>
    <xf numFmtId="0" fontId="9" fillId="6" borderId="0" xfId="0" applyFont="1" applyFill="1" applyAlignment="1">
      <alignment horizontal="left"/>
    </xf>
    <xf numFmtId="0" fontId="9" fillId="6" borderId="9" xfId="0" applyFont="1" applyFill="1" applyBorder="1" applyAlignment="1">
      <alignment horizontal="left"/>
    </xf>
    <xf numFmtId="2" fontId="9" fillId="6" borderId="11" xfId="0" applyNumberFormat="1" applyFont="1" applyFill="1" applyBorder="1" applyAlignment="1">
      <alignment horizontal="left"/>
    </xf>
    <xf numFmtId="2" fontId="9" fillId="6" borderId="9" xfId="0" applyNumberFormat="1" applyFont="1" applyFill="1" applyBorder="1"/>
    <xf numFmtId="0" fontId="9" fillId="6" borderId="11" xfId="0" applyFont="1" applyFill="1" applyBorder="1" applyAlignment="1">
      <alignment horizontal="left"/>
    </xf>
    <xf numFmtId="0" fontId="9" fillId="6" borderId="9" xfId="0" applyFont="1" applyFill="1" applyBorder="1" applyAlignment="1">
      <alignment horizontal="right"/>
    </xf>
    <xf numFmtId="0" fontId="9" fillId="0" borderId="13" xfId="0" applyFont="1" applyBorder="1"/>
    <xf numFmtId="0" fontId="8" fillId="0" borderId="1" xfId="0" applyFont="1" applyBorder="1" applyAlignment="1">
      <alignment horizontal="left" wrapText="1"/>
    </xf>
    <xf numFmtId="0" fontId="9" fillId="0" borderId="1" xfId="0" applyFont="1" applyBorder="1" applyAlignment="1">
      <alignment horizontal="center"/>
    </xf>
    <xf numFmtId="0" fontId="8" fillId="0" borderId="1" xfId="0" applyFont="1" applyBorder="1" applyAlignment="1">
      <alignment horizontal="left"/>
    </xf>
    <xf numFmtId="0" fontId="9" fillId="0" borderId="1" xfId="0" applyFont="1" applyBorder="1" applyAlignment="1">
      <alignment horizontal="left"/>
    </xf>
    <xf numFmtId="0" fontId="8" fillId="5" borderId="1" xfId="0" applyFont="1" applyFill="1" applyBorder="1" applyAlignment="1">
      <alignment horizontal="center"/>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9" fillId="6" borderId="12" xfId="0" applyFont="1" applyFill="1" applyBorder="1" applyAlignment="1">
      <alignment horizontal="left"/>
    </xf>
    <xf numFmtId="0" fontId="9" fillId="6" borderId="15" xfId="0" applyFont="1" applyFill="1" applyBorder="1" applyAlignment="1">
      <alignment horizontal="left"/>
    </xf>
    <xf numFmtId="0" fontId="9" fillId="6" borderId="13" xfId="0" applyFont="1" applyFill="1" applyBorder="1" applyAlignment="1">
      <alignment horizontal="right"/>
    </xf>
    <xf numFmtId="0" fontId="6" fillId="0" borderId="1" xfId="0" applyFont="1" applyBorder="1" applyAlignment="1">
      <alignment horizontal="centerContinuous" vertical="center"/>
    </xf>
    <xf numFmtId="164" fontId="6" fillId="0" borderId="1" xfId="0" applyNumberFormat="1" applyFont="1" applyBorder="1" applyAlignment="1">
      <alignment vertical="center"/>
    </xf>
    <xf numFmtId="0" fontId="7" fillId="0" borderId="1" xfId="0" applyFont="1" applyBorder="1"/>
    <xf numFmtId="164" fontId="9" fillId="0" borderId="8" xfId="0" applyNumberFormat="1" applyFont="1" applyBorder="1"/>
    <xf numFmtId="164" fontId="9" fillId="0" borderId="14" xfId="0" applyNumberFormat="1" applyFont="1" applyBorder="1"/>
    <xf numFmtId="164" fontId="2" fillId="0" borderId="0" xfId="0" applyNumberFormat="1" applyFont="1"/>
    <xf numFmtId="0" fontId="2" fillId="6" borderId="1" xfId="0" applyFont="1" applyFill="1" applyBorder="1"/>
    <xf numFmtId="43" fontId="2" fillId="0" borderId="0" xfId="0" applyNumberFormat="1" applyFont="1"/>
    <xf numFmtId="165" fontId="2" fillId="0" borderId="1" xfId="0" applyNumberFormat="1" applyFont="1" applyBorder="1"/>
    <xf numFmtId="164" fontId="4" fillId="8" borderId="3" xfId="0" applyNumberFormat="1" applyFont="1" applyFill="1" applyBorder="1"/>
    <xf numFmtId="0" fontId="4" fillId="8" borderId="2" xfId="0" applyFont="1" applyFill="1" applyBorder="1" applyAlignment="1">
      <alignment horizontal="center" vertical="center"/>
    </xf>
    <xf numFmtId="0" fontId="11" fillId="8" borderId="4" xfId="0" applyFont="1" applyFill="1" applyBorder="1" applyAlignment="1">
      <alignment horizontal="center"/>
    </xf>
    <xf numFmtId="0" fontId="2" fillId="6" borderId="1" xfId="0" applyFont="1" applyFill="1" applyBorder="1" applyAlignment="1">
      <alignment horizontal="center"/>
    </xf>
    <xf numFmtId="43" fontId="2" fillId="6" borderId="1" xfId="0" applyNumberFormat="1" applyFont="1" applyFill="1" applyBorder="1"/>
    <xf numFmtId="0" fontId="2" fillId="6" borderId="1" xfId="0" applyFont="1" applyFill="1" applyBorder="1" applyAlignment="1">
      <alignment horizontal="center" vertical="center"/>
    </xf>
    <xf numFmtId="0" fontId="2" fillId="6" borderId="0" xfId="0" applyFont="1" applyFill="1" applyAlignment="1">
      <alignment horizontal="center" vertical="center"/>
    </xf>
    <xf numFmtId="0" fontId="4" fillId="0" borderId="0" xfId="0" applyFont="1"/>
    <xf numFmtId="0" fontId="2" fillId="0" borderId="0" xfId="0" applyFont="1" applyAlignment="1">
      <alignment horizontal="right"/>
    </xf>
    <xf numFmtId="43" fontId="2" fillId="0" borderId="0" xfId="1" applyFont="1"/>
    <xf numFmtId="166" fontId="4" fillId="0" borderId="0" xfId="1" applyNumberFormat="1" applyFont="1"/>
    <xf numFmtId="166" fontId="2" fillId="0" borderId="0" xfId="1" applyNumberFormat="1" applyFont="1"/>
    <xf numFmtId="43" fontId="2" fillId="0" borderId="1" xfId="1" applyFont="1" applyFill="1" applyBorder="1"/>
    <xf numFmtId="43" fontId="2" fillId="0" borderId="1" xfId="1" applyFont="1" applyFill="1" applyBorder="1" applyAlignment="1">
      <alignment horizontal="right"/>
    </xf>
    <xf numFmtId="0" fontId="4" fillId="0" borderId="0" xfId="0" applyFont="1" applyAlignment="1">
      <alignment horizontal="right" indent="1"/>
    </xf>
    <xf numFmtId="0" fontId="12" fillId="0" borderId="1" xfId="0" applyFont="1" applyBorder="1" applyAlignment="1">
      <alignment horizontal="center"/>
    </xf>
    <xf numFmtId="0" fontId="12" fillId="6" borderId="1" xfId="0" applyFont="1" applyFill="1" applyBorder="1" applyAlignment="1">
      <alignment horizontal="center"/>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2" fillId="0" borderId="5" xfId="0" applyFont="1" applyBorder="1" applyAlignment="1">
      <alignment horizontal="center" vertical="center"/>
    </xf>
    <xf numFmtId="0" fontId="2" fillId="0" borderId="5" xfId="0" applyFont="1" applyBorder="1"/>
    <xf numFmtId="0" fontId="2" fillId="0" borderId="5" xfId="0" applyFont="1" applyBorder="1" applyAlignment="1">
      <alignment horizontal="center"/>
    </xf>
    <xf numFmtId="164" fontId="4" fillId="0" borderId="5" xfId="0" applyNumberFormat="1" applyFont="1" applyBorder="1"/>
    <xf numFmtId="0" fontId="4" fillId="0" borderId="5" xfId="0" applyFont="1" applyBorder="1" applyAlignment="1">
      <alignment horizontal="center"/>
    </xf>
    <xf numFmtId="0" fontId="5" fillId="0" borderId="0" xfId="0" applyFont="1" applyAlignment="1">
      <alignment horizontal="center"/>
    </xf>
    <xf numFmtId="0" fontId="2" fillId="6" borderId="0" xfId="0" applyFont="1" applyFill="1" applyAlignment="1">
      <alignment horizontal="center"/>
    </xf>
    <xf numFmtId="0" fontId="3" fillId="6" borderId="0" xfId="0" applyFont="1" applyFill="1" applyAlignment="1">
      <alignment horizontal="center" vertical="center" wrapText="1"/>
    </xf>
    <xf numFmtId="0" fontId="4" fillId="6" borderId="0" xfId="0" applyFont="1" applyFill="1" applyAlignment="1">
      <alignment horizontal="center"/>
    </xf>
    <xf numFmtId="0" fontId="11" fillId="6" borderId="0" xfId="0" applyFont="1" applyFill="1" applyAlignment="1">
      <alignment horizontal="center"/>
    </xf>
    <xf numFmtId="0" fontId="2" fillId="7" borderId="1" xfId="0" applyFont="1" applyFill="1" applyBorder="1" applyAlignment="1">
      <alignment horizontal="center"/>
    </xf>
    <xf numFmtId="165" fontId="4" fillId="0" borderId="0" xfId="1" applyNumberFormat="1" applyFont="1"/>
    <xf numFmtId="0" fontId="9" fillId="6" borderId="0" xfId="0" applyFont="1" applyFill="1" applyAlignment="1">
      <alignment horizontal="center"/>
    </xf>
    <xf numFmtId="0" fontId="9" fillId="6" borderId="8" xfId="0" applyFont="1" applyFill="1" applyBorder="1"/>
    <xf numFmtId="0" fontId="9" fillId="6" borderId="5" xfId="0" applyFont="1" applyFill="1" applyBorder="1"/>
    <xf numFmtId="0" fontId="9" fillId="6" borderId="7" xfId="0" applyFont="1" applyFill="1" applyBorder="1" applyAlignment="1">
      <alignment horizontal="center"/>
    </xf>
    <xf numFmtId="0" fontId="9" fillId="7" borderId="5" xfId="0" applyFont="1" applyFill="1" applyBorder="1"/>
    <xf numFmtId="164" fontId="9" fillId="7" borderId="5" xfId="0" applyNumberFormat="1" applyFont="1" applyFill="1" applyBorder="1"/>
    <xf numFmtId="0" fontId="9" fillId="7" borderId="8" xfId="0" applyFont="1" applyFill="1" applyBorder="1"/>
    <xf numFmtId="0" fontId="9" fillId="7" borderId="6" xfId="0" applyFont="1" applyFill="1" applyBorder="1"/>
    <xf numFmtId="2" fontId="0" fillId="0" borderId="0" xfId="0" applyNumberFormat="1"/>
    <xf numFmtId="164" fontId="9" fillId="7" borderId="5" xfId="1" applyNumberFormat="1" applyFont="1" applyFill="1" applyBorder="1" applyAlignment="1">
      <alignment horizontal="right"/>
    </xf>
    <xf numFmtId="0" fontId="13" fillId="0" borderId="1" xfId="0" applyFont="1" applyBorder="1" applyAlignment="1">
      <alignment horizontal="center"/>
    </xf>
    <xf numFmtId="0" fontId="13" fillId="6" borderId="1" xfId="0" applyFont="1" applyFill="1" applyBorder="1" applyAlignment="1">
      <alignment horizontal="center"/>
    </xf>
    <xf numFmtId="0" fontId="15" fillId="0" borderId="0" xfId="0" applyFont="1" applyAlignment="1">
      <alignment vertical="center"/>
    </xf>
    <xf numFmtId="0" fontId="15" fillId="0" borderId="0" xfId="0" applyFont="1" applyAlignment="1">
      <alignment vertical="top"/>
    </xf>
    <xf numFmtId="0" fontId="17" fillId="5" borderId="16" xfId="0" applyFont="1" applyFill="1" applyBorder="1" applyAlignment="1">
      <alignment horizontal="center" vertical="center"/>
    </xf>
    <xf numFmtId="0" fontId="17" fillId="5" borderId="1" xfId="0" applyFont="1" applyFill="1" applyBorder="1" applyAlignment="1">
      <alignment horizontal="center" vertical="center"/>
    </xf>
    <xf numFmtId="43" fontId="17" fillId="5" borderId="1" xfId="1" applyFont="1" applyFill="1" applyBorder="1" applyAlignment="1">
      <alignment horizontal="center" vertical="center" wrapText="1"/>
    </xf>
    <xf numFmtId="166" fontId="17" fillId="5" borderId="1" xfId="1" applyNumberFormat="1" applyFont="1" applyFill="1" applyBorder="1" applyAlignment="1">
      <alignment horizontal="center" vertical="center"/>
    </xf>
    <xf numFmtId="166" fontId="17" fillId="5" borderId="1" xfId="1" applyNumberFormat="1" applyFont="1" applyFill="1" applyBorder="1" applyAlignment="1">
      <alignment horizontal="center" vertical="center" wrapText="1"/>
    </xf>
    <xf numFmtId="0" fontId="17" fillId="5" borderId="17" xfId="0" applyFont="1" applyFill="1" applyBorder="1" applyAlignment="1">
      <alignment horizontal="center" vertical="center"/>
    </xf>
    <xf numFmtId="0" fontId="15" fillId="6" borderId="16" xfId="0" applyFont="1" applyFill="1" applyBorder="1" applyAlignment="1">
      <alignment horizontal="center" vertical="center"/>
    </xf>
    <xf numFmtId="0" fontId="17" fillId="6" borderId="1" xfId="0" applyFont="1" applyFill="1" applyBorder="1" applyAlignment="1">
      <alignment horizontal="left" vertical="top" wrapText="1"/>
    </xf>
    <xf numFmtId="0" fontId="15" fillId="6" borderId="1" xfId="0" applyFont="1" applyFill="1" applyBorder="1" applyAlignment="1">
      <alignment horizontal="center" vertical="center"/>
    </xf>
    <xf numFmtId="43" fontId="15" fillId="6" borderId="1" xfId="1" applyFont="1" applyFill="1" applyBorder="1" applyAlignment="1">
      <alignment horizontal="center" vertical="center"/>
    </xf>
    <xf numFmtId="166" fontId="15" fillId="6" borderId="1" xfId="1" applyNumberFormat="1" applyFont="1" applyFill="1" applyBorder="1" applyAlignment="1">
      <alignment horizontal="center" vertical="center"/>
    </xf>
    <xf numFmtId="43" fontId="15" fillId="6" borderId="17" xfId="1" applyFont="1" applyFill="1" applyBorder="1" applyAlignment="1">
      <alignment horizontal="center" vertical="center"/>
    </xf>
    <xf numFmtId="2" fontId="15" fillId="0" borderId="0" xfId="0" applyNumberFormat="1" applyFont="1" applyAlignment="1">
      <alignment vertical="center"/>
    </xf>
    <xf numFmtId="43" fontId="15" fillId="6" borderId="1" xfId="1" applyFont="1" applyFill="1" applyBorder="1" applyAlignment="1">
      <alignment vertical="center"/>
    </xf>
    <xf numFmtId="166" fontId="15" fillId="6" borderId="1" xfId="1" applyNumberFormat="1" applyFont="1" applyFill="1" applyBorder="1" applyAlignment="1">
      <alignment vertical="center"/>
    </xf>
    <xf numFmtId="43" fontId="15" fillId="6" borderId="17" xfId="1" applyFont="1" applyFill="1" applyBorder="1" applyAlignment="1">
      <alignment vertical="center"/>
    </xf>
    <xf numFmtId="2" fontId="15" fillId="0" borderId="0" xfId="0" applyNumberFormat="1" applyFont="1" applyAlignment="1">
      <alignment horizontal="center" vertical="center"/>
    </xf>
    <xf numFmtId="0" fontId="17" fillId="6" borderId="1" xfId="0" applyFont="1" applyFill="1" applyBorder="1" applyAlignment="1">
      <alignment vertical="top" wrapText="1"/>
    </xf>
    <xf numFmtId="2" fontId="15" fillId="0" borderId="0" xfId="0" applyNumberFormat="1" applyFont="1" applyAlignment="1">
      <alignment vertical="top"/>
    </xf>
    <xf numFmtId="0" fontId="15" fillId="6" borderId="0" xfId="0" applyFont="1" applyFill="1" applyAlignment="1">
      <alignment horizontal="center" vertical="center"/>
    </xf>
    <xf numFmtId="0" fontId="15" fillId="6" borderId="0" xfId="0" applyFont="1" applyFill="1" applyAlignment="1">
      <alignment vertical="top"/>
    </xf>
    <xf numFmtId="0" fontId="15" fillId="6" borderId="0" xfId="0" applyFont="1" applyFill="1" applyAlignment="1">
      <alignment horizontal="center" vertical="top"/>
    </xf>
    <xf numFmtId="43" fontId="15" fillId="6" borderId="0" xfId="1" applyFont="1" applyFill="1" applyAlignment="1">
      <alignment vertical="top"/>
    </xf>
    <xf numFmtId="43" fontId="15" fillId="6" borderId="0" xfId="0" applyNumberFormat="1" applyFont="1" applyFill="1" applyAlignment="1">
      <alignment vertical="top"/>
    </xf>
    <xf numFmtId="0" fontId="15" fillId="0" borderId="0" xfId="0" applyFont="1" applyAlignment="1">
      <alignment horizontal="center" vertical="center"/>
    </xf>
    <xf numFmtId="0" fontId="15" fillId="0" borderId="0" xfId="0" applyFont="1" applyAlignment="1">
      <alignment horizontal="center" vertical="top"/>
    </xf>
    <xf numFmtId="43" fontId="15" fillId="0" borderId="0" xfId="1" applyFont="1" applyAlignment="1">
      <alignment vertical="top"/>
    </xf>
    <xf numFmtId="0" fontId="15" fillId="0" borderId="0" xfId="0" applyFont="1"/>
    <xf numFmtId="166" fontId="17" fillId="6" borderId="1" xfId="1" applyNumberFormat="1" applyFont="1" applyFill="1" applyBorder="1" applyAlignment="1">
      <alignment vertical="center"/>
    </xf>
    <xf numFmtId="0" fontId="15" fillId="6" borderId="25" xfId="0" applyFont="1" applyFill="1" applyBorder="1"/>
    <xf numFmtId="0" fontId="15" fillId="6" borderId="19" xfId="0" applyFont="1" applyFill="1" applyBorder="1"/>
    <xf numFmtId="167" fontId="15" fillId="6" borderId="14" xfId="0" applyNumberFormat="1" applyFont="1" applyFill="1" applyBorder="1"/>
    <xf numFmtId="167" fontId="17" fillId="6" borderId="18" xfId="0" applyNumberFormat="1" applyFont="1" applyFill="1" applyBorder="1"/>
    <xf numFmtId="168" fontId="15" fillId="6" borderId="1" xfId="1" applyNumberFormat="1" applyFont="1" applyFill="1" applyBorder="1" applyAlignment="1">
      <alignment horizontal="center" vertical="center"/>
    </xf>
    <xf numFmtId="0" fontId="17" fillId="6" borderId="26" xfId="0" applyFont="1" applyFill="1" applyBorder="1" applyAlignment="1">
      <alignment horizontal="right" vertical="center"/>
    </xf>
    <xf numFmtId="0" fontId="17" fillId="6" borderId="27" xfId="0" applyFont="1" applyFill="1" applyBorder="1" applyAlignment="1">
      <alignment horizontal="right" vertical="center"/>
    </xf>
    <xf numFmtId="0" fontId="17" fillId="6" borderId="28" xfId="0" applyFont="1" applyFill="1" applyBorder="1" applyAlignment="1">
      <alignment horizontal="right" vertical="center"/>
    </xf>
    <xf numFmtId="0" fontId="17" fillId="6" borderId="1" xfId="0" applyFont="1" applyFill="1" applyBorder="1" applyAlignment="1">
      <alignment horizontal="right" vertical="center"/>
    </xf>
    <xf numFmtId="0" fontId="14" fillId="6" borderId="20" xfId="0" applyFont="1" applyFill="1" applyBorder="1" applyAlignment="1">
      <alignment horizontal="center" vertical="center"/>
    </xf>
    <xf numFmtId="0" fontId="14" fillId="6" borderId="21" xfId="0" applyFont="1" applyFill="1" applyBorder="1" applyAlignment="1">
      <alignment horizontal="center" vertical="center"/>
    </xf>
    <xf numFmtId="0" fontId="14" fillId="6" borderId="22" xfId="0" applyFont="1" applyFill="1" applyBorder="1" applyAlignment="1">
      <alignment horizontal="center" vertical="center"/>
    </xf>
    <xf numFmtId="0" fontId="14" fillId="6" borderId="23"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14" fillId="6" borderId="24" xfId="0" applyFont="1" applyFill="1" applyBorder="1" applyAlignment="1">
      <alignment horizontal="center" vertical="center" wrapText="1"/>
    </xf>
    <xf numFmtId="0" fontId="16" fillId="6" borderId="16" xfId="0" applyFont="1" applyFill="1" applyBorder="1" applyAlignment="1">
      <alignment horizontal="center" vertical="center"/>
    </xf>
    <xf numFmtId="0" fontId="16" fillId="6" borderId="1" xfId="0" applyFont="1" applyFill="1" applyBorder="1" applyAlignment="1">
      <alignment horizontal="center" vertical="center"/>
    </xf>
    <xf numFmtId="0" fontId="16" fillId="6" borderId="17" xfId="0" applyFont="1" applyFill="1" applyBorder="1" applyAlignment="1">
      <alignment horizontal="center" vertical="center"/>
    </xf>
    <xf numFmtId="0" fontId="17" fillId="6" borderId="23" xfId="0" applyFont="1" applyFill="1" applyBorder="1" applyAlignment="1">
      <alignment horizontal="right" vertical="center"/>
    </xf>
    <xf numFmtId="0" fontId="17" fillId="6" borderId="3" xfId="0" applyFont="1" applyFill="1" applyBorder="1" applyAlignment="1">
      <alignment horizontal="right" vertical="center"/>
    </xf>
    <xf numFmtId="0" fontId="17" fillId="6" borderId="4" xfId="0" applyFont="1" applyFill="1" applyBorder="1" applyAlignment="1">
      <alignment horizontal="right" vertical="center"/>
    </xf>
    <xf numFmtId="0" fontId="4" fillId="5" borderId="2" xfId="0" applyFont="1" applyFill="1" applyBorder="1" applyAlignment="1">
      <alignment horizontal="center"/>
    </xf>
    <xf numFmtId="0" fontId="4" fillId="5" borderId="3" xfId="0" applyFont="1" applyFill="1" applyBorder="1" applyAlignment="1">
      <alignment horizontal="center"/>
    </xf>
    <xf numFmtId="0" fontId="4" fillId="5" borderId="4" xfId="0" applyFont="1" applyFill="1" applyBorder="1" applyAlignment="1">
      <alignment horizont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5" fillId="0" borderId="1" xfId="0" applyFont="1" applyBorder="1" applyAlignment="1">
      <alignment horizontal="center"/>
    </xf>
    <xf numFmtId="0" fontId="4" fillId="3" borderId="2" xfId="0" applyFont="1" applyFill="1" applyBorder="1" applyAlignment="1">
      <alignment horizontal="center"/>
    </xf>
    <xf numFmtId="0" fontId="4" fillId="3" borderId="3" xfId="0" applyFont="1" applyFill="1" applyBorder="1" applyAlignment="1">
      <alignment horizontal="center"/>
    </xf>
    <xf numFmtId="0" fontId="4" fillId="3" borderId="4" xfId="0" applyFont="1" applyFill="1" applyBorder="1" applyAlignment="1">
      <alignment horizontal="center"/>
    </xf>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4" xfId="0" applyFont="1" applyFill="1" applyBorder="1" applyAlignment="1">
      <alignment horizontal="center"/>
    </xf>
    <xf numFmtId="0" fontId="2" fillId="0" borderId="0" xfId="0" applyFont="1" applyAlignment="1">
      <alignment horizontal="center"/>
    </xf>
    <xf numFmtId="0" fontId="2" fillId="5" borderId="3" xfId="0" applyFont="1" applyFill="1" applyBorder="1" applyAlignment="1">
      <alignment horizontal="center"/>
    </xf>
    <xf numFmtId="0" fontId="2" fillId="5" borderId="4" xfId="0" applyFont="1" applyFill="1" applyBorder="1" applyAlignment="1">
      <alignment horizontal="center"/>
    </xf>
    <xf numFmtId="0" fontId="4" fillId="8" borderId="3" xfId="0" applyFont="1" applyFill="1" applyBorder="1" applyAlignment="1">
      <alignment horizont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9" fillId="0" borderId="14" xfId="0" applyFont="1" applyBorder="1" applyAlignment="1">
      <alignment horizontal="center" vertical="center"/>
    </xf>
    <xf numFmtId="0" fontId="9" fillId="6" borderId="3" xfId="0" applyFont="1" applyFill="1" applyBorder="1" applyAlignment="1">
      <alignment horizontal="center"/>
    </xf>
    <xf numFmtId="0" fontId="9" fillId="6" borderId="15" xfId="0" applyFont="1" applyFill="1" applyBorder="1" applyAlignment="1">
      <alignment horizontal="center"/>
    </xf>
    <xf numFmtId="0" fontId="9" fillId="6" borderId="0" xfId="0" applyFont="1" applyFill="1" applyAlignment="1">
      <alignment horizont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9" fillId="0" borderId="13" xfId="0" applyFont="1" applyBorder="1" applyAlignment="1">
      <alignment horizontal="center" vertical="center"/>
    </xf>
    <xf numFmtId="0" fontId="9" fillId="0" borderId="5"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4" xfId="0" applyFont="1" applyBorder="1" applyAlignment="1">
      <alignment horizontal="center" vertical="center" wrapText="1"/>
    </xf>
    <xf numFmtId="0" fontId="9" fillId="6" borderId="12" xfId="0" applyFont="1" applyFill="1" applyBorder="1" applyAlignment="1">
      <alignment horizontal="center"/>
    </xf>
    <xf numFmtId="0" fontId="9" fillId="6" borderId="13" xfId="0" applyFont="1" applyFill="1" applyBorder="1" applyAlignment="1">
      <alignment horizontal="center"/>
    </xf>
    <xf numFmtId="0" fontId="8" fillId="5" borderId="2" xfId="0" applyFont="1" applyFill="1" applyBorder="1" applyAlignment="1">
      <alignment horizontal="center"/>
    </xf>
    <xf numFmtId="0" fontId="8" fillId="5" borderId="3" xfId="0" applyFont="1" applyFill="1" applyBorder="1" applyAlignment="1">
      <alignment horizontal="center"/>
    </xf>
    <xf numFmtId="0" fontId="8" fillId="5" borderId="4" xfId="0" applyFont="1" applyFill="1" applyBorder="1" applyAlignment="1">
      <alignment horizontal="center"/>
    </xf>
    <xf numFmtId="0" fontId="17" fillId="5" borderId="1" xfId="0" applyFont="1" applyFill="1" applyBorder="1" applyAlignment="1">
      <alignment horizontal="center" vertical="center" wrapText="1"/>
    </xf>
    <xf numFmtId="0" fontId="15" fillId="6" borderId="0" xfId="0" applyFont="1" applyFill="1" applyAlignment="1">
      <alignment vertical="top" wrapText="1"/>
    </xf>
    <xf numFmtId="0" fontId="15" fillId="0" borderId="0" xfId="0" applyFont="1" applyAlignment="1">
      <alignment vertical="top" wrapText="1"/>
    </xf>
    <xf numFmtId="0" fontId="4" fillId="0" borderId="7" xfId="0" applyFont="1" applyBorder="1" applyAlignment="1">
      <alignment horizontal="center"/>
    </xf>
  </cellXfs>
  <cellStyles count="4">
    <cellStyle name="Comma" xfId="1" builtinId="3"/>
    <cellStyle name="Comma 2" xfId="2" xr:uid="{B934E505-9531-4DFF-B3BD-F7C627F7B90F}"/>
    <cellStyle name="Normal" xfId="0" builtinId="0"/>
    <cellStyle name="Normal 5" xfId="3" xr:uid="{7C378B3E-BD6A-4F27-8499-8F9C1342C9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0</xdr:colOff>
      <xdr:row>2</xdr:row>
      <xdr:rowOff>0</xdr:rowOff>
    </xdr:from>
    <xdr:to>
      <xdr:col>17</xdr:col>
      <xdr:colOff>396875</xdr:colOff>
      <xdr:row>5</xdr:row>
      <xdr:rowOff>14433</xdr:rowOff>
    </xdr:to>
    <xdr:sp macro="" textlink="">
      <xdr:nvSpPr>
        <xdr:cNvPr id="2" name="Rectangle 1">
          <a:extLst>
            <a:ext uri="{FF2B5EF4-FFF2-40B4-BE49-F238E27FC236}">
              <a16:creationId xmlns:a16="http://schemas.microsoft.com/office/drawing/2014/main" id="{4D307652-ACB7-469C-AE9E-C2CCB30B3BC0}"/>
            </a:ext>
          </a:extLst>
        </xdr:cNvPr>
        <xdr:cNvSpPr/>
      </xdr:nvSpPr>
      <xdr:spPr>
        <a:xfrm>
          <a:off x="9350375" y="488950"/>
          <a:ext cx="4425950" cy="674833"/>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IN" sz="1100"/>
        </a:p>
      </xdr:txBody>
    </xdr:sp>
    <xdr:clientData/>
  </xdr:twoCellAnchor>
  <xdr:twoCellAnchor>
    <xdr:from>
      <xdr:col>13</xdr:col>
      <xdr:colOff>598922</xdr:colOff>
      <xdr:row>1</xdr:row>
      <xdr:rowOff>194828</xdr:rowOff>
    </xdr:from>
    <xdr:to>
      <xdr:col>13</xdr:col>
      <xdr:colOff>598922</xdr:colOff>
      <xdr:row>4</xdr:row>
      <xdr:rowOff>209261</xdr:rowOff>
    </xdr:to>
    <xdr:cxnSp macro="">
      <xdr:nvCxnSpPr>
        <xdr:cNvPr id="3" name="Straight Connector 2">
          <a:extLst>
            <a:ext uri="{FF2B5EF4-FFF2-40B4-BE49-F238E27FC236}">
              <a16:creationId xmlns:a16="http://schemas.microsoft.com/office/drawing/2014/main" id="{174AF452-E028-4196-999E-A2CE6FF9AC50}"/>
            </a:ext>
          </a:extLst>
        </xdr:cNvPr>
        <xdr:cNvCxnSpPr/>
      </xdr:nvCxnSpPr>
      <xdr:spPr>
        <a:xfrm>
          <a:off x="11539972" y="467878"/>
          <a:ext cx="0" cy="67483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1</xdr:row>
      <xdr:rowOff>202045</xdr:rowOff>
    </xdr:from>
    <xdr:to>
      <xdr:col>12</xdr:col>
      <xdr:colOff>14432</xdr:colOff>
      <xdr:row>5</xdr:row>
      <xdr:rowOff>7216</xdr:rowOff>
    </xdr:to>
    <xdr:cxnSp macro="">
      <xdr:nvCxnSpPr>
        <xdr:cNvPr id="4" name="Straight Connector 3">
          <a:extLst>
            <a:ext uri="{FF2B5EF4-FFF2-40B4-BE49-F238E27FC236}">
              <a16:creationId xmlns:a16="http://schemas.microsoft.com/office/drawing/2014/main" id="{06021EE3-F498-4609-8479-F800B4310A37}"/>
            </a:ext>
          </a:extLst>
        </xdr:cNvPr>
        <xdr:cNvCxnSpPr/>
      </xdr:nvCxnSpPr>
      <xdr:spPr>
        <a:xfrm>
          <a:off x="9335943" y="475095"/>
          <a:ext cx="1009939" cy="68147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22513</xdr:colOff>
      <xdr:row>2</xdr:row>
      <xdr:rowOff>8082</xdr:rowOff>
    </xdr:from>
    <xdr:to>
      <xdr:col>12</xdr:col>
      <xdr:colOff>599786</xdr:colOff>
      <xdr:row>5</xdr:row>
      <xdr:rowOff>8082</xdr:rowOff>
    </xdr:to>
    <xdr:cxnSp macro="">
      <xdr:nvCxnSpPr>
        <xdr:cNvPr id="5" name="Straight Connector 4">
          <a:extLst>
            <a:ext uri="{FF2B5EF4-FFF2-40B4-BE49-F238E27FC236}">
              <a16:creationId xmlns:a16="http://schemas.microsoft.com/office/drawing/2014/main" id="{D59264C2-BA37-474A-9B46-F10B45EB550A}"/>
            </a:ext>
          </a:extLst>
        </xdr:cNvPr>
        <xdr:cNvCxnSpPr/>
      </xdr:nvCxnSpPr>
      <xdr:spPr>
        <a:xfrm>
          <a:off x="10353963" y="497032"/>
          <a:ext cx="577273" cy="6604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600651</xdr:colOff>
      <xdr:row>1</xdr:row>
      <xdr:rowOff>210993</xdr:rowOff>
    </xdr:from>
    <xdr:to>
      <xdr:col>13</xdr:col>
      <xdr:colOff>571788</xdr:colOff>
      <xdr:row>4</xdr:row>
      <xdr:rowOff>210993</xdr:rowOff>
    </xdr:to>
    <xdr:cxnSp macro="">
      <xdr:nvCxnSpPr>
        <xdr:cNvPr id="6" name="Straight Connector 5">
          <a:extLst>
            <a:ext uri="{FF2B5EF4-FFF2-40B4-BE49-F238E27FC236}">
              <a16:creationId xmlns:a16="http://schemas.microsoft.com/office/drawing/2014/main" id="{B63295BB-6C65-4CE9-A449-E4DCE6FD70E3}"/>
            </a:ext>
          </a:extLst>
        </xdr:cNvPr>
        <xdr:cNvCxnSpPr/>
      </xdr:nvCxnSpPr>
      <xdr:spPr>
        <a:xfrm>
          <a:off x="10932101" y="484043"/>
          <a:ext cx="580737" cy="6604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601517</xdr:colOff>
      <xdr:row>2</xdr:row>
      <xdr:rowOff>0</xdr:rowOff>
    </xdr:from>
    <xdr:to>
      <xdr:col>15</xdr:col>
      <xdr:colOff>0</xdr:colOff>
      <xdr:row>5</xdr:row>
      <xdr:rowOff>17030</xdr:rowOff>
    </xdr:to>
    <xdr:cxnSp macro="">
      <xdr:nvCxnSpPr>
        <xdr:cNvPr id="7" name="Straight Connector 6">
          <a:extLst>
            <a:ext uri="{FF2B5EF4-FFF2-40B4-BE49-F238E27FC236}">
              <a16:creationId xmlns:a16="http://schemas.microsoft.com/office/drawing/2014/main" id="{F8C7A664-9438-439E-82F8-403CE616C84D}"/>
            </a:ext>
          </a:extLst>
        </xdr:cNvPr>
        <xdr:cNvCxnSpPr/>
      </xdr:nvCxnSpPr>
      <xdr:spPr>
        <a:xfrm flipH="1">
          <a:off x="11542567" y="488950"/>
          <a:ext cx="617683" cy="67743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595166</xdr:colOff>
      <xdr:row>2</xdr:row>
      <xdr:rowOff>8082</xdr:rowOff>
    </xdr:from>
    <xdr:to>
      <xdr:col>15</xdr:col>
      <xdr:colOff>599786</xdr:colOff>
      <xdr:row>5</xdr:row>
      <xdr:rowOff>25112</xdr:rowOff>
    </xdr:to>
    <xdr:cxnSp macro="">
      <xdr:nvCxnSpPr>
        <xdr:cNvPr id="8" name="Straight Connector 7">
          <a:extLst>
            <a:ext uri="{FF2B5EF4-FFF2-40B4-BE49-F238E27FC236}">
              <a16:creationId xmlns:a16="http://schemas.microsoft.com/office/drawing/2014/main" id="{BE9967BE-5EE0-4C3A-99D5-C5B98BAEA782}"/>
            </a:ext>
          </a:extLst>
        </xdr:cNvPr>
        <xdr:cNvCxnSpPr/>
      </xdr:nvCxnSpPr>
      <xdr:spPr>
        <a:xfrm flipH="1">
          <a:off x="12145816" y="497032"/>
          <a:ext cx="614220" cy="67743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596033</xdr:colOff>
      <xdr:row>2</xdr:row>
      <xdr:rowOff>7216</xdr:rowOff>
    </xdr:from>
    <xdr:to>
      <xdr:col>17</xdr:col>
      <xdr:colOff>375227</xdr:colOff>
      <xdr:row>4</xdr:row>
      <xdr:rowOff>213591</xdr:rowOff>
    </xdr:to>
    <xdr:cxnSp macro="">
      <xdr:nvCxnSpPr>
        <xdr:cNvPr id="9" name="Straight Connector 8">
          <a:extLst>
            <a:ext uri="{FF2B5EF4-FFF2-40B4-BE49-F238E27FC236}">
              <a16:creationId xmlns:a16="http://schemas.microsoft.com/office/drawing/2014/main" id="{4A194701-E7D4-40D2-935C-0D4A5FD541A3}"/>
            </a:ext>
          </a:extLst>
        </xdr:cNvPr>
        <xdr:cNvCxnSpPr/>
      </xdr:nvCxnSpPr>
      <xdr:spPr>
        <a:xfrm flipH="1">
          <a:off x="12756283" y="496166"/>
          <a:ext cx="998394" cy="6508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18907</xdr:colOff>
      <xdr:row>2</xdr:row>
      <xdr:rowOff>866</xdr:rowOff>
    </xdr:from>
    <xdr:to>
      <xdr:col>13</xdr:col>
      <xdr:colOff>18907</xdr:colOff>
      <xdr:row>5</xdr:row>
      <xdr:rowOff>15299</xdr:rowOff>
    </xdr:to>
    <xdr:cxnSp macro="">
      <xdr:nvCxnSpPr>
        <xdr:cNvPr id="10" name="Straight Connector 9">
          <a:extLst>
            <a:ext uri="{FF2B5EF4-FFF2-40B4-BE49-F238E27FC236}">
              <a16:creationId xmlns:a16="http://schemas.microsoft.com/office/drawing/2014/main" id="{B760E6DD-4654-4210-8507-EAAAD35117FE}"/>
            </a:ext>
          </a:extLst>
        </xdr:cNvPr>
        <xdr:cNvCxnSpPr/>
      </xdr:nvCxnSpPr>
      <xdr:spPr>
        <a:xfrm>
          <a:off x="10959957" y="489816"/>
          <a:ext cx="0" cy="67483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5341</xdr:colOff>
      <xdr:row>1</xdr:row>
      <xdr:rowOff>203777</xdr:rowOff>
    </xdr:from>
    <xdr:to>
      <xdr:col>12</xdr:col>
      <xdr:colOff>5341</xdr:colOff>
      <xdr:row>5</xdr:row>
      <xdr:rowOff>1733</xdr:rowOff>
    </xdr:to>
    <xdr:cxnSp macro="">
      <xdr:nvCxnSpPr>
        <xdr:cNvPr id="11" name="Straight Connector 10">
          <a:extLst>
            <a:ext uri="{FF2B5EF4-FFF2-40B4-BE49-F238E27FC236}">
              <a16:creationId xmlns:a16="http://schemas.microsoft.com/office/drawing/2014/main" id="{AE972A9B-1486-4719-8D6E-D46CA00EE741}"/>
            </a:ext>
          </a:extLst>
        </xdr:cNvPr>
        <xdr:cNvCxnSpPr/>
      </xdr:nvCxnSpPr>
      <xdr:spPr>
        <a:xfrm>
          <a:off x="10336791" y="476827"/>
          <a:ext cx="0" cy="67425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597911</xdr:colOff>
      <xdr:row>2</xdr:row>
      <xdr:rowOff>17030</xdr:rowOff>
    </xdr:from>
    <xdr:to>
      <xdr:col>14</xdr:col>
      <xdr:colOff>597911</xdr:colOff>
      <xdr:row>5</xdr:row>
      <xdr:rowOff>31463</xdr:rowOff>
    </xdr:to>
    <xdr:cxnSp macro="">
      <xdr:nvCxnSpPr>
        <xdr:cNvPr id="12" name="Straight Connector 11">
          <a:extLst>
            <a:ext uri="{FF2B5EF4-FFF2-40B4-BE49-F238E27FC236}">
              <a16:creationId xmlns:a16="http://schemas.microsoft.com/office/drawing/2014/main" id="{0FC7C75B-9287-4C7B-B93A-0B2E0129B50D}"/>
            </a:ext>
          </a:extLst>
        </xdr:cNvPr>
        <xdr:cNvCxnSpPr/>
      </xdr:nvCxnSpPr>
      <xdr:spPr>
        <a:xfrm>
          <a:off x="12148561" y="505980"/>
          <a:ext cx="0" cy="67483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7073</xdr:colOff>
      <xdr:row>2</xdr:row>
      <xdr:rowOff>10680</xdr:rowOff>
    </xdr:from>
    <xdr:to>
      <xdr:col>16</xdr:col>
      <xdr:colOff>7073</xdr:colOff>
      <xdr:row>5</xdr:row>
      <xdr:rowOff>25113</xdr:rowOff>
    </xdr:to>
    <xdr:cxnSp macro="">
      <xdr:nvCxnSpPr>
        <xdr:cNvPr id="13" name="Straight Connector 12">
          <a:extLst>
            <a:ext uri="{FF2B5EF4-FFF2-40B4-BE49-F238E27FC236}">
              <a16:creationId xmlns:a16="http://schemas.microsoft.com/office/drawing/2014/main" id="{47F6B834-CFD5-4359-8EF2-E80C610E40F1}"/>
            </a:ext>
          </a:extLst>
        </xdr:cNvPr>
        <xdr:cNvCxnSpPr/>
      </xdr:nvCxnSpPr>
      <xdr:spPr>
        <a:xfrm>
          <a:off x="12776923" y="499630"/>
          <a:ext cx="0" cy="67483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14432</xdr:colOff>
      <xdr:row>6</xdr:row>
      <xdr:rowOff>7216</xdr:rowOff>
    </xdr:from>
    <xdr:to>
      <xdr:col>16</xdr:col>
      <xdr:colOff>21648</xdr:colOff>
      <xdr:row>6</xdr:row>
      <xdr:rowOff>7216</xdr:rowOff>
    </xdr:to>
    <xdr:cxnSp macro="">
      <xdr:nvCxnSpPr>
        <xdr:cNvPr id="14" name="Straight Arrow Connector 13">
          <a:extLst>
            <a:ext uri="{FF2B5EF4-FFF2-40B4-BE49-F238E27FC236}">
              <a16:creationId xmlns:a16="http://schemas.microsoft.com/office/drawing/2014/main" id="{166453DF-1AC3-4478-B3F1-1B49438827D4}"/>
            </a:ext>
          </a:extLst>
        </xdr:cNvPr>
        <xdr:cNvCxnSpPr/>
      </xdr:nvCxnSpPr>
      <xdr:spPr>
        <a:xfrm>
          <a:off x="10345882" y="1372466"/>
          <a:ext cx="2445616"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6</xdr:row>
      <xdr:rowOff>7216</xdr:rowOff>
    </xdr:from>
    <xdr:to>
      <xdr:col>12</xdr:col>
      <xdr:colOff>21648</xdr:colOff>
      <xdr:row>6</xdr:row>
      <xdr:rowOff>8081</xdr:rowOff>
    </xdr:to>
    <xdr:cxnSp macro="">
      <xdr:nvCxnSpPr>
        <xdr:cNvPr id="15" name="Straight Arrow Connector 14">
          <a:extLst>
            <a:ext uri="{FF2B5EF4-FFF2-40B4-BE49-F238E27FC236}">
              <a16:creationId xmlns:a16="http://schemas.microsoft.com/office/drawing/2014/main" id="{2F92425B-4E60-46DC-B5E6-61B33DC02C01}"/>
            </a:ext>
          </a:extLst>
        </xdr:cNvPr>
        <xdr:cNvCxnSpPr/>
      </xdr:nvCxnSpPr>
      <xdr:spPr>
        <a:xfrm flipV="1">
          <a:off x="9358458" y="1372466"/>
          <a:ext cx="994640" cy="865"/>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23380</xdr:colOff>
      <xdr:row>6</xdr:row>
      <xdr:rowOff>8082</xdr:rowOff>
    </xdr:from>
    <xdr:to>
      <xdr:col>17</xdr:col>
      <xdr:colOff>404956</xdr:colOff>
      <xdr:row>6</xdr:row>
      <xdr:rowOff>8947</xdr:rowOff>
    </xdr:to>
    <xdr:cxnSp macro="">
      <xdr:nvCxnSpPr>
        <xdr:cNvPr id="16" name="Straight Arrow Connector 15">
          <a:extLst>
            <a:ext uri="{FF2B5EF4-FFF2-40B4-BE49-F238E27FC236}">
              <a16:creationId xmlns:a16="http://schemas.microsoft.com/office/drawing/2014/main" id="{78781A34-5A53-4AED-B03C-73CAEA266228}"/>
            </a:ext>
          </a:extLst>
        </xdr:cNvPr>
        <xdr:cNvCxnSpPr/>
      </xdr:nvCxnSpPr>
      <xdr:spPr>
        <a:xfrm flipV="1">
          <a:off x="12793230" y="1373332"/>
          <a:ext cx="991176" cy="865"/>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7</xdr:row>
      <xdr:rowOff>204643</xdr:rowOff>
    </xdr:from>
    <xdr:to>
      <xdr:col>17</xdr:col>
      <xdr:colOff>404091</xdr:colOff>
      <xdr:row>8</xdr:row>
      <xdr:rowOff>0</xdr:rowOff>
    </xdr:to>
    <xdr:cxnSp macro="">
      <xdr:nvCxnSpPr>
        <xdr:cNvPr id="17" name="Straight Arrow Connector 16">
          <a:extLst>
            <a:ext uri="{FF2B5EF4-FFF2-40B4-BE49-F238E27FC236}">
              <a16:creationId xmlns:a16="http://schemas.microsoft.com/office/drawing/2014/main" id="{AE7F1E5C-AFD1-4BE3-8DAE-FBA699D804E1}"/>
            </a:ext>
          </a:extLst>
        </xdr:cNvPr>
        <xdr:cNvCxnSpPr/>
      </xdr:nvCxnSpPr>
      <xdr:spPr>
        <a:xfrm>
          <a:off x="9367404" y="1785793"/>
          <a:ext cx="4416137" cy="11257"/>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512329</xdr:colOff>
      <xdr:row>2</xdr:row>
      <xdr:rowOff>10390</xdr:rowOff>
    </xdr:from>
    <xdr:to>
      <xdr:col>17</xdr:col>
      <xdr:colOff>518968</xdr:colOff>
      <xdr:row>5</xdr:row>
      <xdr:rowOff>7216</xdr:rowOff>
    </xdr:to>
    <xdr:cxnSp macro="">
      <xdr:nvCxnSpPr>
        <xdr:cNvPr id="18" name="Straight Arrow Connector 17">
          <a:extLst>
            <a:ext uri="{FF2B5EF4-FFF2-40B4-BE49-F238E27FC236}">
              <a16:creationId xmlns:a16="http://schemas.microsoft.com/office/drawing/2014/main" id="{54523029-E120-4238-B30F-776261CF0E98}"/>
            </a:ext>
          </a:extLst>
        </xdr:cNvPr>
        <xdr:cNvCxnSpPr/>
      </xdr:nvCxnSpPr>
      <xdr:spPr>
        <a:xfrm flipH="1">
          <a:off x="13861761" y="501072"/>
          <a:ext cx="6639" cy="660689"/>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45</xdr:row>
      <xdr:rowOff>0</xdr:rowOff>
    </xdr:from>
    <xdr:to>
      <xdr:col>8</xdr:col>
      <xdr:colOff>396875</xdr:colOff>
      <xdr:row>48</xdr:row>
      <xdr:rowOff>14433</xdr:rowOff>
    </xdr:to>
    <xdr:sp macro="" textlink="">
      <xdr:nvSpPr>
        <xdr:cNvPr id="19" name="Rectangle 18">
          <a:extLst>
            <a:ext uri="{FF2B5EF4-FFF2-40B4-BE49-F238E27FC236}">
              <a16:creationId xmlns:a16="http://schemas.microsoft.com/office/drawing/2014/main" id="{2548EA9B-E5C6-4438-A005-D8276B0A1551}"/>
            </a:ext>
          </a:extLst>
        </xdr:cNvPr>
        <xdr:cNvSpPr/>
      </xdr:nvSpPr>
      <xdr:spPr>
        <a:xfrm>
          <a:off x="10473765" y="493059"/>
          <a:ext cx="4199404" cy="679315"/>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IN" sz="1100"/>
        </a:p>
      </xdr:txBody>
    </xdr:sp>
    <xdr:clientData/>
  </xdr:twoCellAnchor>
  <xdr:twoCellAnchor>
    <xdr:from>
      <xdr:col>4</xdr:col>
      <xdr:colOff>598922</xdr:colOff>
      <xdr:row>44</xdr:row>
      <xdr:rowOff>194828</xdr:rowOff>
    </xdr:from>
    <xdr:to>
      <xdr:col>4</xdr:col>
      <xdr:colOff>598922</xdr:colOff>
      <xdr:row>47</xdr:row>
      <xdr:rowOff>209261</xdr:rowOff>
    </xdr:to>
    <xdr:cxnSp macro="">
      <xdr:nvCxnSpPr>
        <xdr:cNvPr id="20" name="Straight Connector 19">
          <a:extLst>
            <a:ext uri="{FF2B5EF4-FFF2-40B4-BE49-F238E27FC236}">
              <a16:creationId xmlns:a16="http://schemas.microsoft.com/office/drawing/2014/main" id="{EE4477BA-2E30-4022-9C4F-D515A3214FB1}"/>
            </a:ext>
          </a:extLst>
        </xdr:cNvPr>
        <xdr:cNvCxnSpPr/>
      </xdr:nvCxnSpPr>
      <xdr:spPr>
        <a:xfrm>
          <a:off x="12691937" y="471240"/>
          <a:ext cx="0" cy="67931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44</xdr:row>
      <xdr:rowOff>202045</xdr:rowOff>
    </xdr:from>
    <xdr:to>
      <xdr:col>3</xdr:col>
      <xdr:colOff>14432</xdr:colOff>
      <xdr:row>48</xdr:row>
      <xdr:rowOff>7216</xdr:rowOff>
    </xdr:to>
    <xdr:cxnSp macro="">
      <xdr:nvCxnSpPr>
        <xdr:cNvPr id="21" name="Straight Connector 20">
          <a:extLst>
            <a:ext uri="{FF2B5EF4-FFF2-40B4-BE49-F238E27FC236}">
              <a16:creationId xmlns:a16="http://schemas.microsoft.com/office/drawing/2014/main" id="{1989FEF6-F5C2-47C1-BA54-986ECFDC7169}"/>
            </a:ext>
          </a:extLst>
        </xdr:cNvPr>
        <xdr:cNvCxnSpPr/>
      </xdr:nvCxnSpPr>
      <xdr:spPr>
        <a:xfrm>
          <a:off x="10473765" y="478457"/>
          <a:ext cx="903432" cy="6867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22513</xdr:colOff>
      <xdr:row>45</xdr:row>
      <xdr:rowOff>8082</xdr:rowOff>
    </xdr:from>
    <xdr:to>
      <xdr:col>3</xdr:col>
      <xdr:colOff>599786</xdr:colOff>
      <xdr:row>48</xdr:row>
      <xdr:rowOff>8082</xdr:rowOff>
    </xdr:to>
    <xdr:cxnSp macro="">
      <xdr:nvCxnSpPr>
        <xdr:cNvPr id="22" name="Straight Connector 21">
          <a:extLst>
            <a:ext uri="{FF2B5EF4-FFF2-40B4-BE49-F238E27FC236}">
              <a16:creationId xmlns:a16="http://schemas.microsoft.com/office/drawing/2014/main" id="{076E0481-7147-4477-9A08-63BE974BEDD1}"/>
            </a:ext>
          </a:extLst>
        </xdr:cNvPr>
        <xdr:cNvCxnSpPr/>
      </xdr:nvCxnSpPr>
      <xdr:spPr>
        <a:xfrm>
          <a:off x="11385278" y="501141"/>
          <a:ext cx="577273" cy="66488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600651</xdr:colOff>
      <xdr:row>44</xdr:row>
      <xdr:rowOff>210993</xdr:rowOff>
    </xdr:from>
    <xdr:to>
      <xdr:col>4</xdr:col>
      <xdr:colOff>571788</xdr:colOff>
      <xdr:row>47</xdr:row>
      <xdr:rowOff>210993</xdr:rowOff>
    </xdr:to>
    <xdr:cxnSp macro="">
      <xdr:nvCxnSpPr>
        <xdr:cNvPr id="23" name="Straight Connector 22">
          <a:extLst>
            <a:ext uri="{FF2B5EF4-FFF2-40B4-BE49-F238E27FC236}">
              <a16:creationId xmlns:a16="http://schemas.microsoft.com/office/drawing/2014/main" id="{321028CC-493E-4425-A67F-3E7C7698A72A}"/>
            </a:ext>
          </a:extLst>
        </xdr:cNvPr>
        <xdr:cNvCxnSpPr/>
      </xdr:nvCxnSpPr>
      <xdr:spPr>
        <a:xfrm>
          <a:off x="11963416" y="487405"/>
          <a:ext cx="726787" cy="66488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601517</xdr:colOff>
      <xdr:row>45</xdr:row>
      <xdr:rowOff>0</xdr:rowOff>
    </xdr:from>
    <xdr:to>
      <xdr:col>6</xdr:col>
      <xdr:colOff>0</xdr:colOff>
      <xdr:row>48</xdr:row>
      <xdr:rowOff>17030</xdr:rowOff>
    </xdr:to>
    <xdr:cxnSp macro="">
      <xdr:nvCxnSpPr>
        <xdr:cNvPr id="24" name="Straight Connector 23">
          <a:extLst>
            <a:ext uri="{FF2B5EF4-FFF2-40B4-BE49-F238E27FC236}">
              <a16:creationId xmlns:a16="http://schemas.microsoft.com/office/drawing/2014/main" id="{51AB307E-1A92-4644-8673-DCA6CB1889C9}"/>
            </a:ext>
          </a:extLst>
        </xdr:cNvPr>
        <xdr:cNvCxnSpPr/>
      </xdr:nvCxnSpPr>
      <xdr:spPr>
        <a:xfrm flipH="1">
          <a:off x="12688182" y="493059"/>
          <a:ext cx="616936" cy="68191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595166</xdr:colOff>
      <xdr:row>45</xdr:row>
      <xdr:rowOff>8082</xdr:rowOff>
    </xdr:from>
    <xdr:to>
      <xdr:col>6</xdr:col>
      <xdr:colOff>599786</xdr:colOff>
      <xdr:row>48</xdr:row>
      <xdr:rowOff>25112</xdr:rowOff>
    </xdr:to>
    <xdr:cxnSp macro="">
      <xdr:nvCxnSpPr>
        <xdr:cNvPr id="25" name="Straight Connector 24">
          <a:extLst>
            <a:ext uri="{FF2B5EF4-FFF2-40B4-BE49-F238E27FC236}">
              <a16:creationId xmlns:a16="http://schemas.microsoft.com/office/drawing/2014/main" id="{53884650-5AEE-4799-A693-19F56B114DE6}"/>
            </a:ext>
          </a:extLst>
        </xdr:cNvPr>
        <xdr:cNvCxnSpPr/>
      </xdr:nvCxnSpPr>
      <xdr:spPr>
        <a:xfrm flipH="1">
          <a:off x="13287695" y="501141"/>
          <a:ext cx="617209" cy="68191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596033</xdr:colOff>
      <xdr:row>45</xdr:row>
      <xdr:rowOff>7216</xdr:rowOff>
    </xdr:from>
    <xdr:to>
      <xdr:col>8</xdr:col>
      <xdr:colOff>375227</xdr:colOff>
      <xdr:row>47</xdr:row>
      <xdr:rowOff>213591</xdr:rowOff>
    </xdr:to>
    <xdr:cxnSp macro="">
      <xdr:nvCxnSpPr>
        <xdr:cNvPr id="26" name="Straight Connector 25">
          <a:extLst>
            <a:ext uri="{FF2B5EF4-FFF2-40B4-BE49-F238E27FC236}">
              <a16:creationId xmlns:a16="http://schemas.microsoft.com/office/drawing/2014/main" id="{007A42C5-FF40-4B5E-BB37-04BF6506110F}"/>
            </a:ext>
          </a:extLst>
        </xdr:cNvPr>
        <xdr:cNvCxnSpPr/>
      </xdr:nvCxnSpPr>
      <xdr:spPr>
        <a:xfrm flipH="1">
          <a:off x="13901151" y="500275"/>
          <a:ext cx="750370" cy="65461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18907</xdr:colOff>
      <xdr:row>45</xdr:row>
      <xdr:rowOff>866</xdr:rowOff>
    </xdr:from>
    <xdr:to>
      <xdr:col>4</xdr:col>
      <xdr:colOff>18907</xdr:colOff>
      <xdr:row>48</xdr:row>
      <xdr:rowOff>15299</xdr:rowOff>
    </xdr:to>
    <xdr:cxnSp macro="">
      <xdr:nvCxnSpPr>
        <xdr:cNvPr id="27" name="Straight Connector 26">
          <a:extLst>
            <a:ext uri="{FF2B5EF4-FFF2-40B4-BE49-F238E27FC236}">
              <a16:creationId xmlns:a16="http://schemas.microsoft.com/office/drawing/2014/main" id="{41EE9618-D008-4784-A8F8-F07BF82A718C}"/>
            </a:ext>
          </a:extLst>
        </xdr:cNvPr>
        <xdr:cNvCxnSpPr/>
      </xdr:nvCxnSpPr>
      <xdr:spPr>
        <a:xfrm>
          <a:off x="12270672" y="493925"/>
          <a:ext cx="0" cy="67931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5341</xdr:colOff>
      <xdr:row>44</xdr:row>
      <xdr:rowOff>203777</xdr:rowOff>
    </xdr:from>
    <xdr:to>
      <xdr:col>3</xdr:col>
      <xdr:colOff>5341</xdr:colOff>
      <xdr:row>48</xdr:row>
      <xdr:rowOff>1733</xdr:rowOff>
    </xdr:to>
    <xdr:cxnSp macro="">
      <xdr:nvCxnSpPr>
        <xdr:cNvPr id="28" name="Straight Connector 27">
          <a:extLst>
            <a:ext uri="{FF2B5EF4-FFF2-40B4-BE49-F238E27FC236}">
              <a16:creationId xmlns:a16="http://schemas.microsoft.com/office/drawing/2014/main" id="{99183228-7AFB-4123-B2D4-EA7C5A273877}"/>
            </a:ext>
          </a:extLst>
        </xdr:cNvPr>
        <xdr:cNvCxnSpPr/>
      </xdr:nvCxnSpPr>
      <xdr:spPr>
        <a:xfrm>
          <a:off x="11368106" y="480189"/>
          <a:ext cx="0" cy="67948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597911</xdr:colOff>
      <xdr:row>45</xdr:row>
      <xdr:rowOff>17030</xdr:rowOff>
    </xdr:from>
    <xdr:to>
      <xdr:col>5</xdr:col>
      <xdr:colOff>597911</xdr:colOff>
      <xdr:row>48</xdr:row>
      <xdr:rowOff>31463</xdr:rowOff>
    </xdr:to>
    <xdr:cxnSp macro="">
      <xdr:nvCxnSpPr>
        <xdr:cNvPr id="29" name="Straight Connector 28">
          <a:extLst>
            <a:ext uri="{FF2B5EF4-FFF2-40B4-BE49-F238E27FC236}">
              <a16:creationId xmlns:a16="http://schemas.microsoft.com/office/drawing/2014/main" id="{F4A7A9BB-1EA9-4BE9-A313-1EF356B4BC0F}"/>
            </a:ext>
          </a:extLst>
        </xdr:cNvPr>
        <xdr:cNvCxnSpPr/>
      </xdr:nvCxnSpPr>
      <xdr:spPr>
        <a:xfrm>
          <a:off x="13290440" y="510089"/>
          <a:ext cx="0" cy="67931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7073</xdr:colOff>
      <xdr:row>45</xdr:row>
      <xdr:rowOff>10680</xdr:rowOff>
    </xdr:from>
    <xdr:to>
      <xdr:col>7</xdr:col>
      <xdr:colOff>7073</xdr:colOff>
      <xdr:row>48</xdr:row>
      <xdr:rowOff>25113</xdr:rowOff>
    </xdr:to>
    <xdr:cxnSp macro="">
      <xdr:nvCxnSpPr>
        <xdr:cNvPr id="30" name="Straight Connector 29">
          <a:extLst>
            <a:ext uri="{FF2B5EF4-FFF2-40B4-BE49-F238E27FC236}">
              <a16:creationId xmlns:a16="http://schemas.microsoft.com/office/drawing/2014/main" id="{FB9BC999-ACA4-478A-A660-8000022195DC}"/>
            </a:ext>
          </a:extLst>
        </xdr:cNvPr>
        <xdr:cNvCxnSpPr/>
      </xdr:nvCxnSpPr>
      <xdr:spPr>
        <a:xfrm>
          <a:off x="13924779" y="503739"/>
          <a:ext cx="0" cy="67931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14432</xdr:colOff>
      <xdr:row>49</xdr:row>
      <xdr:rowOff>7216</xdr:rowOff>
    </xdr:from>
    <xdr:to>
      <xdr:col>7</xdr:col>
      <xdr:colOff>21648</xdr:colOff>
      <xdr:row>49</xdr:row>
      <xdr:rowOff>7216</xdr:rowOff>
    </xdr:to>
    <xdr:cxnSp macro="">
      <xdr:nvCxnSpPr>
        <xdr:cNvPr id="31" name="Straight Arrow Connector 30">
          <a:extLst>
            <a:ext uri="{FF2B5EF4-FFF2-40B4-BE49-F238E27FC236}">
              <a16:creationId xmlns:a16="http://schemas.microsoft.com/office/drawing/2014/main" id="{4A94A01D-F281-4BFA-91A8-8A5A43195226}"/>
            </a:ext>
          </a:extLst>
        </xdr:cNvPr>
        <xdr:cNvCxnSpPr/>
      </xdr:nvCxnSpPr>
      <xdr:spPr>
        <a:xfrm>
          <a:off x="11377197" y="1381804"/>
          <a:ext cx="2562157"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49</xdr:row>
      <xdr:rowOff>7216</xdr:rowOff>
    </xdr:from>
    <xdr:to>
      <xdr:col>3</xdr:col>
      <xdr:colOff>21648</xdr:colOff>
      <xdr:row>49</xdr:row>
      <xdr:rowOff>8081</xdr:rowOff>
    </xdr:to>
    <xdr:cxnSp macro="">
      <xdr:nvCxnSpPr>
        <xdr:cNvPr id="32" name="Straight Arrow Connector 31">
          <a:extLst>
            <a:ext uri="{FF2B5EF4-FFF2-40B4-BE49-F238E27FC236}">
              <a16:creationId xmlns:a16="http://schemas.microsoft.com/office/drawing/2014/main" id="{4D181882-A2E4-4493-A833-6BC380AF1EBC}"/>
            </a:ext>
          </a:extLst>
        </xdr:cNvPr>
        <xdr:cNvCxnSpPr/>
      </xdr:nvCxnSpPr>
      <xdr:spPr>
        <a:xfrm flipV="1">
          <a:off x="10473765" y="1381804"/>
          <a:ext cx="910648" cy="865"/>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23380</xdr:colOff>
      <xdr:row>49</xdr:row>
      <xdr:rowOff>8082</xdr:rowOff>
    </xdr:from>
    <xdr:to>
      <xdr:col>8</xdr:col>
      <xdr:colOff>404956</xdr:colOff>
      <xdr:row>49</xdr:row>
      <xdr:rowOff>8947</xdr:rowOff>
    </xdr:to>
    <xdr:cxnSp macro="">
      <xdr:nvCxnSpPr>
        <xdr:cNvPr id="33" name="Straight Arrow Connector 32">
          <a:extLst>
            <a:ext uri="{FF2B5EF4-FFF2-40B4-BE49-F238E27FC236}">
              <a16:creationId xmlns:a16="http://schemas.microsoft.com/office/drawing/2014/main" id="{F8519A41-9BF1-485D-8B40-FFF9DF310E2F}"/>
            </a:ext>
          </a:extLst>
        </xdr:cNvPr>
        <xdr:cNvCxnSpPr/>
      </xdr:nvCxnSpPr>
      <xdr:spPr>
        <a:xfrm flipV="1">
          <a:off x="13941086" y="1382670"/>
          <a:ext cx="740164" cy="865"/>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50</xdr:row>
      <xdr:rowOff>204643</xdr:rowOff>
    </xdr:from>
    <xdr:to>
      <xdr:col>8</xdr:col>
      <xdr:colOff>404091</xdr:colOff>
      <xdr:row>51</xdr:row>
      <xdr:rowOff>0</xdr:rowOff>
    </xdr:to>
    <xdr:cxnSp macro="">
      <xdr:nvCxnSpPr>
        <xdr:cNvPr id="34" name="Straight Arrow Connector 33">
          <a:extLst>
            <a:ext uri="{FF2B5EF4-FFF2-40B4-BE49-F238E27FC236}">
              <a16:creationId xmlns:a16="http://schemas.microsoft.com/office/drawing/2014/main" id="{00B56225-52BA-4132-8F34-A163E43BE91D}"/>
            </a:ext>
          </a:extLst>
        </xdr:cNvPr>
        <xdr:cNvCxnSpPr/>
      </xdr:nvCxnSpPr>
      <xdr:spPr>
        <a:xfrm>
          <a:off x="10473765" y="1795878"/>
          <a:ext cx="4206620" cy="12004"/>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512329</xdr:colOff>
      <xdr:row>45</xdr:row>
      <xdr:rowOff>10390</xdr:rowOff>
    </xdr:from>
    <xdr:to>
      <xdr:col>8</xdr:col>
      <xdr:colOff>518968</xdr:colOff>
      <xdr:row>48</xdr:row>
      <xdr:rowOff>7216</xdr:rowOff>
    </xdr:to>
    <xdr:cxnSp macro="">
      <xdr:nvCxnSpPr>
        <xdr:cNvPr id="35" name="Straight Arrow Connector 34">
          <a:extLst>
            <a:ext uri="{FF2B5EF4-FFF2-40B4-BE49-F238E27FC236}">
              <a16:creationId xmlns:a16="http://schemas.microsoft.com/office/drawing/2014/main" id="{66C00279-1697-45E2-A437-9DC3DDC6721C}"/>
            </a:ext>
          </a:extLst>
        </xdr:cNvPr>
        <xdr:cNvCxnSpPr/>
      </xdr:nvCxnSpPr>
      <xdr:spPr>
        <a:xfrm flipH="1">
          <a:off x="14788623" y="503449"/>
          <a:ext cx="6639" cy="661708"/>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2</xdr:row>
      <xdr:rowOff>0</xdr:rowOff>
    </xdr:from>
    <xdr:to>
      <xdr:col>17</xdr:col>
      <xdr:colOff>396875</xdr:colOff>
      <xdr:row>5</xdr:row>
      <xdr:rowOff>14433</xdr:rowOff>
    </xdr:to>
    <xdr:sp macro="" textlink="">
      <xdr:nvSpPr>
        <xdr:cNvPr id="2" name="Rectangle 1">
          <a:extLst>
            <a:ext uri="{FF2B5EF4-FFF2-40B4-BE49-F238E27FC236}">
              <a16:creationId xmlns:a16="http://schemas.microsoft.com/office/drawing/2014/main" id="{B409CA88-3908-4218-BBB7-6F91D1A88F73}"/>
            </a:ext>
          </a:extLst>
        </xdr:cNvPr>
        <xdr:cNvSpPr/>
      </xdr:nvSpPr>
      <xdr:spPr>
        <a:xfrm>
          <a:off x="11643360" y="480060"/>
          <a:ext cx="4008755" cy="684993"/>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IN" sz="1100"/>
        </a:p>
      </xdr:txBody>
    </xdr:sp>
    <xdr:clientData/>
  </xdr:twoCellAnchor>
  <xdr:twoCellAnchor>
    <xdr:from>
      <xdr:col>13</xdr:col>
      <xdr:colOff>598922</xdr:colOff>
      <xdr:row>1</xdr:row>
      <xdr:rowOff>194828</xdr:rowOff>
    </xdr:from>
    <xdr:to>
      <xdr:col>13</xdr:col>
      <xdr:colOff>598922</xdr:colOff>
      <xdr:row>4</xdr:row>
      <xdr:rowOff>209261</xdr:rowOff>
    </xdr:to>
    <xdr:cxnSp macro="">
      <xdr:nvCxnSpPr>
        <xdr:cNvPr id="3" name="Straight Connector 2">
          <a:extLst>
            <a:ext uri="{FF2B5EF4-FFF2-40B4-BE49-F238E27FC236}">
              <a16:creationId xmlns:a16="http://schemas.microsoft.com/office/drawing/2014/main" id="{C5E8EB65-D4F4-4EB2-8B89-A10E766EA79B}"/>
            </a:ext>
          </a:extLst>
        </xdr:cNvPr>
        <xdr:cNvCxnSpPr/>
      </xdr:nvCxnSpPr>
      <xdr:spPr>
        <a:xfrm>
          <a:off x="13446242" y="453908"/>
          <a:ext cx="0" cy="68499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1</xdr:row>
      <xdr:rowOff>202045</xdr:rowOff>
    </xdr:from>
    <xdr:to>
      <xdr:col>12</xdr:col>
      <xdr:colOff>14432</xdr:colOff>
      <xdr:row>5</xdr:row>
      <xdr:rowOff>7216</xdr:rowOff>
    </xdr:to>
    <xdr:cxnSp macro="">
      <xdr:nvCxnSpPr>
        <xdr:cNvPr id="4" name="Straight Connector 3">
          <a:extLst>
            <a:ext uri="{FF2B5EF4-FFF2-40B4-BE49-F238E27FC236}">
              <a16:creationId xmlns:a16="http://schemas.microsoft.com/office/drawing/2014/main" id="{2126F17A-3F6E-4B26-9B27-3F763B3FD9D5}"/>
            </a:ext>
          </a:extLst>
        </xdr:cNvPr>
        <xdr:cNvCxnSpPr/>
      </xdr:nvCxnSpPr>
      <xdr:spPr>
        <a:xfrm>
          <a:off x="11643360" y="461125"/>
          <a:ext cx="616412" cy="69671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22513</xdr:colOff>
      <xdr:row>2</xdr:row>
      <xdr:rowOff>8082</xdr:rowOff>
    </xdr:from>
    <xdr:to>
      <xdr:col>12</xdr:col>
      <xdr:colOff>599786</xdr:colOff>
      <xdr:row>5</xdr:row>
      <xdr:rowOff>8082</xdr:rowOff>
    </xdr:to>
    <xdr:cxnSp macro="">
      <xdr:nvCxnSpPr>
        <xdr:cNvPr id="5" name="Straight Connector 4">
          <a:extLst>
            <a:ext uri="{FF2B5EF4-FFF2-40B4-BE49-F238E27FC236}">
              <a16:creationId xmlns:a16="http://schemas.microsoft.com/office/drawing/2014/main" id="{2012F872-E3AD-4120-9E9A-D6D0BC5510AB}"/>
            </a:ext>
          </a:extLst>
        </xdr:cNvPr>
        <xdr:cNvCxnSpPr/>
      </xdr:nvCxnSpPr>
      <xdr:spPr>
        <a:xfrm>
          <a:off x="12267853" y="488142"/>
          <a:ext cx="577273" cy="67056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600651</xdr:colOff>
      <xdr:row>1</xdr:row>
      <xdr:rowOff>210993</xdr:rowOff>
    </xdr:from>
    <xdr:to>
      <xdr:col>13</xdr:col>
      <xdr:colOff>571788</xdr:colOff>
      <xdr:row>4</xdr:row>
      <xdr:rowOff>210993</xdr:rowOff>
    </xdr:to>
    <xdr:cxnSp macro="">
      <xdr:nvCxnSpPr>
        <xdr:cNvPr id="6" name="Straight Connector 5">
          <a:extLst>
            <a:ext uri="{FF2B5EF4-FFF2-40B4-BE49-F238E27FC236}">
              <a16:creationId xmlns:a16="http://schemas.microsoft.com/office/drawing/2014/main" id="{07C089EB-FBC3-4684-B90C-0203829221B9}"/>
            </a:ext>
          </a:extLst>
        </xdr:cNvPr>
        <xdr:cNvCxnSpPr/>
      </xdr:nvCxnSpPr>
      <xdr:spPr>
        <a:xfrm>
          <a:off x="12845991" y="470073"/>
          <a:ext cx="573117" cy="67056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601517</xdr:colOff>
      <xdr:row>2</xdr:row>
      <xdr:rowOff>0</xdr:rowOff>
    </xdr:from>
    <xdr:to>
      <xdr:col>15</xdr:col>
      <xdr:colOff>0</xdr:colOff>
      <xdr:row>5</xdr:row>
      <xdr:rowOff>17030</xdr:rowOff>
    </xdr:to>
    <xdr:cxnSp macro="">
      <xdr:nvCxnSpPr>
        <xdr:cNvPr id="7" name="Straight Connector 6">
          <a:extLst>
            <a:ext uri="{FF2B5EF4-FFF2-40B4-BE49-F238E27FC236}">
              <a16:creationId xmlns:a16="http://schemas.microsoft.com/office/drawing/2014/main" id="{D62A6602-3985-48EE-A7FA-5F4F6812B5C6}"/>
            </a:ext>
          </a:extLst>
        </xdr:cNvPr>
        <xdr:cNvCxnSpPr/>
      </xdr:nvCxnSpPr>
      <xdr:spPr>
        <a:xfrm flipH="1">
          <a:off x="13448837" y="480060"/>
          <a:ext cx="602443" cy="68759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595166</xdr:colOff>
      <xdr:row>2</xdr:row>
      <xdr:rowOff>8082</xdr:rowOff>
    </xdr:from>
    <xdr:to>
      <xdr:col>15</xdr:col>
      <xdr:colOff>599786</xdr:colOff>
      <xdr:row>5</xdr:row>
      <xdr:rowOff>25112</xdr:rowOff>
    </xdr:to>
    <xdr:cxnSp macro="">
      <xdr:nvCxnSpPr>
        <xdr:cNvPr id="8" name="Straight Connector 7">
          <a:extLst>
            <a:ext uri="{FF2B5EF4-FFF2-40B4-BE49-F238E27FC236}">
              <a16:creationId xmlns:a16="http://schemas.microsoft.com/office/drawing/2014/main" id="{ADAA10F5-E5A4-45DF-86F7-C13F3827D930}"/>
            </a:ext>
          </a:extLst>
        </xdr:cNvPr>
        <xdr:cNvCxnSpPr/>
      </xdr:nvCxnSpPr>
      <xdr:spPr>
        <a:xfrm flipH="1">
          <a:off x="14044466" y="488142"/>
          <a:ext cx="606600" cy="68759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596033</xdr:colOff>
      <xdr:row>2</xdr:row>
      <xdr:rowOff>7216</xdr:rowOff>
    </xdr:from>
    <xdr:to>
      <xdr:col>17</xdr:col>
      <xdr:colOff>375227</xdr:colOff>
      <xdr:row>4</xdr:row>
      <xdr:rowOff>213591</xdr:rowOff>
    </xdr:to>
    <xdr:cxnSp macro="">
      <xdr:nvCxnSpPr>
        <xdr:cNvPr id="9" name="Straight Connector 8">
          <a:extLst>
            <a:ext uri="{FF2B5EF4-FFF2-40B4-BE49-F238E27FC236}">
              <a16:creationId xmlns:a16="http://schemas.microsoft.com/office/drawing/2014/main" id="{EB37FBBF-5EC6-40F8-92C3-4C4C40C528C1}"/>
            </a:ext>
          </a:extLst>
        </xdr:cNvPr>
        <xdr:cNvCxnSpPr/>
      </xdr:nvCxnSpPr>
      <xdr:spPr>
        <a:xfrm flipH="1">
          <a:off x="14647313" y="487276"/>
          <a:ext cx="983154" cy="65595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18907</xdr:colOff>
      <xdr:row>2</xdr:row>
      <xdr:rowOff>866</xdr:rowOff>
    </xdr:from>
    <xdr:to>
      <xdr:col>13</xdr:col>
      <xdr:colOff>18907</xdr:colOff>
      <xdr:row>5</xdr:row>
      <xdr:rowOff>15299</xdr:rowOff>
    </xdr:to>
    <xdr:cxnSp macro="">
      <xdr:nvCxnSpPr>
        <xdr:cNvPr id="10" name="Straight Connector 9">
          <a:extLst>
            <a:ext uri="{FF2B5EF4-FFF2-40B4-BE49-F238E27FC236}">
              <a16:creationId xmlns:a16="http://schemas.microsoft.com/office/drawing/2014/main" id="{A4E56A28-6E8C-4C55-9811-937A355FD7FF}"/>
            </a:ext>
          </a:extLst>
        </xdr:cNvPr>
        <xdr:cNvCxnSpPr/>
      </xdr:nvCxnSpPr>
      <xdr:spPr>
        <a:xfrm>
          <a:off x="12866227" y="480926"/>
          <a:ext cx="0" cy="68499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5341</xdr:colOff>
      <xdr:row>1</xdr:row>
      <xdr:rowOff>203777</xdr:rowOff>
    </xdr:from>
    <xdr:to>
      <xdr:col>12</xdr:col>
      <xdr:colOff>5341</xdr:colOff>
      <xdr:row>5</xdr:row>
      <xdr:rowOff>1733</xdr:rowOff>
    </xdr:to>
    <xdr:cxnSp macro="">
      <xdr:nvCxnSpPr>
        <xdr:cNvPr id="11" name="Straight Connector 10">
          <a:extLst>
            <a:ext uri="{FF2B5EF4-FFF2-40B4-BE49-F238E27FC236}">
              <a16:creationId xmlns:a16="http://schemas.microsoft.com/office/drawing/2014/main" id="{066968E3-B5AA-4C39-98A7-FA7C7F0EE476}"/>
            </a:ext>
          </a:extLst>
        </xdr:cNvPr>
        <xdr:cNvCxnSpPr/>
      </xdr:nvCxnSpPr>
      <xdr:spPr>
        <a:xfrm>
          <a:off x="12250681" y="462857"/>
          <a:ext cx="0" cy="68949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597911</xdr:colOff>
      <xdr:row>2</xdr:row>
      <xdr:rowOff>17030</xdr:rowOff>
    </xdr:from>
    <xdr:to>
      <xdr:col>14</xdr:col>
      <xdr:colOff>597911</xdr:colOff>
      <xdr:row>5</xdr:row>
      <xdr:rowOff>31463</xdr:rowOff>
    </xdr:to>
    <xdr:cxnSp macro="">
      <xdr:nvCxnSpPr>
        <xdr:cNvPr id="12" name="Straight Connector 11">
          <a:extLst>
            <a:ext uri="{FF2B5EF4-FFF2-40B4-BE49-F238E27FC236}">
              <a16:creationId xmlns:a16="http://schemas.microsoft.com/office/drawing/2014/main" id="{72AF55F5-EACB-424D-B0EA-B1BA4C1704D6}"/>
            </a:ext>
          </a:extLst>
        </xdr:cNvPr>
        <xdr:cNvCxnSpPr/>
      </xdr:nvCxnSpPr>
      <xdr:spPr>
        <a:xfrm>
          <a:off x="14047211" y="497090"/>
          <a:ext cx="0" cy="68499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7073</xdr:colOff>
      <xdr:row>2</xdr:row>
      <xdr:rowOff>10680</xdr:rowOff>
    </xdr:from>
    <xdr:to>
      <xdr:col>16</xdr:col>
      <xdr:colOff>7073</xdr:colOff>
      <xdr:row>5</xdr:row>
      <xdr:rowOff>25113</xdr:rowOff>
    </xdr:to>
    <xdr:cxnSp macro="">
      <xdr:nvCxnSpPr>
        <xdr:cNvPr id="13" name="Straight Connector 12">
          <a:extLst>
            <a:ext uri="{FF2B5EF4-FFF2-40B4-BE49-F238E27FC236}">
              <a16:creationId xmlns:a16="http://schemas.microsoft.com/office/drawing/2014/main" id="{08D30979-0827-48E3-8947-6810A2B2BCFE}"/>
            </a:ext>
          </a:extLst>
        </xdr:cNvPr>
        <xdr:cNvCxnSpPr/>
      </xdr:nvCxnSpPr>
      <xdr:spPr>
        <a:xfrm>
          <a:off x="14660333" y="490740"/>
          <a:ext cx="0" cy="68499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14432</xdr:colOff>
      <xdr:row>6</xdr:row>
      <xdr:rowOff>7216</xdr:rowOff>
    </xdr:from>
    <xdr:to>
      <xdr:col>16</xdr:col>
      <xdr:colOff>21648</xdr:colOff>
      <xdr:row>6</xdr:row>
      <xdr:rowOff>7216</xdr:rowOff>
    </xdr:to>
    <xdr:cxnSp macro="">
      <xdr:nvCxnSpPr>
        <xdr:cNvPr id="14" name="Straight Arrow Connector 13">
          <a:extLst>
            <a:ext uri="{FF2B5EF4-FFF2-40B4-BE49-F238E27FC236}">
              <a16:creationId xmlns:a16="http://schemas.microsoft.com/office/drawing/2014/main" id="{9012DD26-626E-4DEE-BA72-E77366BAC491}"/>
            </a:ext>
          </a:extLst>
        </xdr:cNvPr>
        <xdr:cNvCxnSpPr/>
      </xdr:nvCxnSpPr>
      <xdr:spPr>
        <a:xfrm>
          <a:off x="12259772" y="1378816"/>
          <a:ext cx="2415136"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6</xdr:row>
      <xdr:rowOff>7216</xdr:rowOff>
    </xdr:from>
    <xdr:to>
      <xdr:col>12</xdr:col>
      <xdr:colOff>21648</xdr:colOff>
      <xdr:row>6</xdr:row>
      <xdr:rowOff>8081</xdr:rowOff>
    </xdr:to>
    <xdr:cxnSp macro="">
      <xdr:nvCxnSpPr>
        <xdr:cNvPr id="15" name="Straight Arrow Connector 14">
          <a:extLst>
            <a:ext uri="{FF2B5EF4-FFF2-40B4-BE49-F238E27FC236}">
              <a16:creationId xmlns:a16="http://schemas.microsoft.com/office/drawing/2014/main" id="{8DBFDF50-82B6-4ECF-AEFE-4992039C3601}"/>
            </a:ext>
          </a:extLst>
        </xdr:cNvPr>
        <xdr:cNvCxnSpPr/>
      </xdr:nvCxnSpPr>
      <xdr:spPr>
        <a:xfrm flipV="1">
          <a:off x="11643360" y="1378816"/>
          <a:ext cx="623628" cy="865"/>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23380</xdr:colOff>
      <xdr:row>6</xdr:row>
      <xdr:rowOff>8082</xdr:rowOff>
    </xdr:from>
    <xdr:to>
      <xdr:col>17</xdr:col>
      <xdr:colOff>404956</xdr:colOff>
      <xdr:row>6</xdr:row>
      <xdr:rowOff>8947</xdr:rowOff>
    </xdr:to>
    <xdr:cxnSp macro="">
      <xdr:nvCxnSpPr>
        <xdr:cNvPr id="16" name="Straight Arrow Connector 15">
          <a:extLst>
            <a:ext uri="{FF2B5EF4-FFF2-40B4-BE49-F238E27FC236}">
              <a16:creationId xmlns:a16="http://schemas.microsoft.com/office/drawing/2014/main" id="{68CF9507-4839-47C2-8413-14F464F4D418}"/>
            </a:ext>
          </a:extLst>
        </xdr:cNvPr>
        <xdr:cNvCxnSpPr/>
      </xdr:nvCxnSpPr>
      <xdr:spPr>
        <a:xfrm flipV="1">
          <a:off x="14676640" y="1379682"/>
          <a:ext cx="983556" cy="865"/>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7</xdr:row>
      <xdr:rowOff>204643</xdr:rowOff>
    </xdr:from>
    <xdr:to>
      <xdr:col>17</xdr:col>
      <xdr:colOff>404091</xdr:colOff>
      <xdr:row>8</xdr:row>
      <xdr:rowOff>0</xdr:rowOff>
    </xdr:to>
    <xdr:cxnSp macro="">
      <xdr:nvCxnSpPr>
        <xdr:cNvPr id="17" name="Straight Arrow Connector 16">
          <a:extLst>
            <a:ext uri="{FF2B5EF4-FFF2-40B4-BE49-F238E27FC236}">
              <a16:creationId xmlns:a16="http://schemas.microsoft.com/office/drawing/2014/main" id="{50C3DD74-5017-4032-9E64-5F98D08E0B6F}"/>
            </a:ext>
          </a:extLst>
        </xdr:cNvPr>
        <xdr:cNvCxnSpPr/>
      </xdr:nvCxnSpPr>
      <xdr:spPr>
        <a:xfrm>
          <a:off x="11643360" y="1797223"/>
          <a:ext cx="4015971" cy="16337"/>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512329</xdr:colOff>
      <xdr:row>2</xdr:row>
      <xdr:rowOff>10390</xdr:rowOff>
    </xdr:from>
    <xdr:to>
      <xdr:col>17</xdr:col>
      <xdr:colOff>518968</xdr:colOff>
      <xdr:row>5</xdr:row>
      <xdr:rowOff>7216</xdr:rowOff>
    </xdr:to>
    <xdr:cxnSp macro="">
      <xdr:nvCxnSpPr>
        <xdr:cNvPr id="18" name="Straight Arrow Connector 17">
          <a:extLst>
            <a:ext uri="{FF2B5EF4-FFF2-40B4-BE49-F238E27FC236}">
              <a16:creationId xmlns:a16="http://schemas.microsoft.com/office/drawing/2014/main" id="{80F68A77-8D4B-4D68-A783-F7FF5784C9E5}"/>
            </a:ext>
          </a:extLst>
        </xdr:cNvPr>
        <xdr:cNvCxnSpPr/>
      </xdr:nvCxnSpPr>
      <xdr:spPr>
        <a:xfrm flipH="1">
          <a:off x="15767569" y="490450"/>
          <a:ext cx="6639" cy="667386"/>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46</xdr:row>
      <xdr:rowOff>0</xdr:rowOff>
    </xdr:from>
    <xdr:to>
      <xdr:col>7</xdr:col>
      <xdr:colOff>396875</xdr:colOff>
      <xdr:row>49</xdr:row>
      <xdr:rowOff>14433</xdr:rowOff>
    </xdr:to>
    <xdr:sp macro="" textlink="">
      <xdr:nvSpPr>
        <xdr:cNvPr id="19" name="Rectangle 18">
          <a:extLst>
            <a:ext uri="{FF2B5EF4-FFF2-40B4-BE49-F238E27FC236}">
              <a16:creationId xmlns:a16="http://schemas.microsoft.com/office/drawing/2014/main" id="{E5C5B73E-8C65-4D87-BBE9-6A1BF6986AEA}"/>
            </a:ext>
          </a:extLst>
        </xdr:cNvPr>
        <xdr:cNvSpPr/>
      </xdr:nvSpPr>
      <xdr:spPr>
        <a:xfrm>
          <a:off x="11407588" y="493059"/>
          <a:ext cx="3960346" cy="664374"/>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IN" sz="1100"/>
        </a:p>
      </xdr:txBody>
    </xdr:sp>
    <xdr:clientData/>
  </xdr:twoCellAnchor>
  <xdr:twoCellAnchor>
    <xdr:from>
      <xdr:col>3</xdr:col>
      <xdr:colOff>598922</xdr:colOff>
      <xdr:row>45</xdr:row>
      <xdr:rowOff>194828</xdr:rowOff>
    </xdr:from>
    <xdr:to>
      <xdr:col>3</xdr:col>
      <xdr:colOff>598922</xdr:colOff>
      <xdr:row>48</xdr:row>
      <xdr:rowOff>209261</xdr:rowOff>
    </xdr:to>
    <xdr:cxnSp macro="">
      <xdr:nvCxnSpPr>
        <xdr:cNvPr id="20" name="Straight Connector 19">
          <a:extLst>
            <a:ext uri="{FF2B5EF4-FFF2-40B4-BE49-F238E27FC236}">
              <a16:creationId xmlns:a16="http://schemas.microsoft.com/office/drawing/2014/main" id="{2027EA95-2247-4249-9F77-00116535BB93}"/>
            </a:ext>
          </a:extLst>
        </xdr:cNvPr>
        <xdr:cNvCxnSpPr/>
      </xdr:nvCxnSpPr>
      <xdr:spPr>
        <a:xfrm>
          <a:off x="13625760" y="471240"/>
          <a:ext cx="0" cy="66437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45</xdr:row>
      <xdr:rowOff>202045</xdr:rowOff>
    </xdr:from>
    <xdr:to>
      <xdr:col>2</xdr:col>
      <xdr:colOff>14432</xdr:colOff>
      <xdr:row>49</xdr:row>
      <xdr:rowOff>7216</xdr:rowOff>
    </xdr:to>
    <xdr:cxnSp macro="">
      <xdr:nvCxnSpPr>
        <xdr:cNvPr id="21" name="Straight Connector 20">
          <a:extLst>
            <a:ext uri="{FF2B5EF4-FFF2-40B4-BE49-F238E27FC236}">
              <a16:creationId xmlns:a16="http://schemas.microsoft.com/office/drawing/2014/main" id="{A4AB93CA-ECCE-40A7-857B-6B746676B03A}"/>
            </a:ext>
          </a:extLst>
        </xdr:cNvPr>
        <xdr:cNvCxnSpPr/>
      </xdr:nvCxnSpPr>
      <xdr:spPr>
        <a:xfrm>
          <a:off x="11407588" y="478457"/>
          <a:ext cx="903432" cy="67175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22513</xdr:colOff>
      <xdr:row>46</xdr:row>
      <xdr:rowOff>8082</xdr:rowOff>
    </xdr:from>
    <xdr:to>
      <xdr:col>2</xdr:col>
      <xdr:colOff>599786</xdr:colOff>
      <xdr:row>49</xdr:row>
      <xdr:rowOff>8082</xdr:rowOff>
    </xdr:to>
    <xdr:cxnSp macro="">
      <xdr:nvCxnSpPr>
        <xdr:cNvPr id="22" name="Straight Connector 21">
          <a:extLst>
            <a:ext uri="{FF2B5EF4-FFF2-40B4-BE49-F238E27FC236}">
              <a16:creationId xmlns:a16="http://schemas.microsoft.com/office/drawing/2014/main" id="{B45B7186-3F0A-4AB4-B3F1-4050784525B3}"/>
            </a:ext>
          </a:extLst>
        </xdr:cNvPr>
        <xdr:cNvCxnSpPr/>
      </xdr:nvCxnSpPr>
      <xdr:spPr>
        <a:xfrm>
          <a:off x="12319101" y="501141"/>
          <a:ext cx="577273" cy="64994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600651</xdr:colOff>
      <xdr:row>45</xdr:row>
      <xdr:rowOff>210993</xdr:rowOff>
    </xdr:from>
    <xdr:to>
      <xdr:col>3</xdr:col>
      <xdr:colOff>571788</xdr:colOff>
      <xdr:row>48</xdr:row>
      <xdr:rowOff>210993</xdr:rowOff>
    </xdr:to>
    <xdr:cxnSp macro="">
      <xdr:nvCxnSpPr>
        <xdr:cNvPr id="23" name="Straight Connector 22">
          <a:extLst>
            <a:ext uri="{FF2B5EF4-FFF2-40B4-BE49-F238E27FC236}">
              <a16:creationId xmlns:a16="http://schemas.microsoft.com/office/drawing/2014/main" id="{6EF67597-649E-4FCB-9853-1664C0A8AB8E}"/>
            </a:ext>
          </a:extLst>
        </xdr:cNvPr>
        <xdr:cNvCxnSpPr/>
      </xdr:nvCxnSpPr>
      <xdr:spPr>
        <a:xfrm>
          <a:off x="12897239" y="487405"/>
          <a:ext cx="726787" cy="64994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601517</xdr:colOff>
      <xdr:row>46</xdr:row>
      <xdr:rowOff>0</xdr:rowOff>
    </xdr:from>
    <xdr:to>
      <xdr:col>5</xdr:col>
      <xdr:colOff>0</xdr:colOff>
      <xdr:row>49</xdr:row>
      <xdr:rowOff>17030</xdr:rowOff>
    </xdr:to>
    <xdr:cxnSp macro="">
      <xdr:nvCxnSpPr>
        <xdr:cNvPr id="24" name="Straight Connector 23">
          <a:extLst>
            <a:ext uri="{FF2B5EF4-FFF2-40B4-BE49-F238E27FC236}">
              <a16:creationId xmlns:a16="http://schemas.microsoft.com/office/drawing/2014/main" id="{9ED1E891-0EE9-4FA6-BCCB-88E1A1A7D4AA}"/>
            </a:ext>
          </a:extLst>
        </xdr:cNvPr>
        <xdr:cNvCxnSpPr/>
      </xdr:nvCxnSpPr>
      <xdr:spPr>
        <a:xfrm flipH="1">
          <a:off x="13622005" y="493059"/>
          <a:ext cx="497407" cy="66697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595166</xdr:colOff>
      <xdr:row>46</xdr:row>
      <xdr:rowOff>8082</xdr:rowOff>
    </xdr:from>
    <xdr:to>
      <xdr:col>5</xdr:col>
      <xdr:colOff>599786</xdr:colOff>
      <xdr:row>49</xdr:row>
      <xdr:rowOff>25112</xdr:rowOff>
    </xdr:to>
    <xdr:cxnSp macro="">
      <xdr:nvCxnSpPr>
        <xdr:cNvPr id="25" name="Straight Connector 24">
          <a:extLst>
            <a:ext uri="{FF2B5EF4-FFF2-40B4-BE49-F238E27FC236}">
              <a16:creationId xmlns:a16="http://schemas.microsoft.com/office/drawing/2014/main" id="{F569D7C2-20AF-491F-9A25-D72DCC6B3671}"/>
            </a:ext>
          </a:extLst>
        </xdr:cNvPr>
        <xdr:cNvCxnSpPr/>
      </xdr:nvCxnSpPr>
      <xdr:spPr>
        <a:xfrm flipH="1">
          <a:off x="14119919" y="501141"/>
          <a:ext cx="497679" cy="66697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596033</xdr:colOff>
      <xdr:row>46</xdr:row>
      <xdr:rowOff>7216</xdr:rowOff>
    </xdr:from>
    <xdr:to>
      <xdr:col>7</xdr:col>
      <xdr:colOff>375227</xdr:colOff>
      <xdr:row>48</xdr:row>
      <xdr:rowOff>213591</xdr:rowOff>
    </xdr:to>
    <xdr:cxnSp macro="">
      <xdr:nvCxnSpPr>
        <xdr:cNvPr id="26" name="Straight Connector 25">
          <a:extLst>
            <a:ext uri="{FF2B5EF4-FFF2-40B4-BE49-F238E27FC236}">
              <a16:creationId xmlns:a16="http://schemas.microsoft.com/office/drawing/2014/main" id="{83A1D91E-2ACF-44B7-964B-7483C7E3690A}"/>
            </a:ext>
          </a:extLst>
        </xdr:cNvPr>
        <xdr:cNvCxnSpPr/>
      </xdr:nvCxnSpPr>
      <xdr:spPr>
        <a:xfrm flipH="1">
          <a:off x="14613845" y="500275"/>
          <a:ext cx="732441" cy="63966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18907</xdr:colOff>
      <xdr:row>46</xdr:row>
      <xdr:rowOff>866</xdr:rowOff>
    </xdr:from>
    <xdr:to>
      <xdr:col>3</xdr:col>
      <xdr:colOff>18907</xdr:colOff>
      <xdr:row>49</xdr:row>
      <xdr:rowOff>15299</xdr:rowOff>
    </xdr:to>
    <xdr:cxnSp macro="">
      <xdr:nvCxnSpPr>
        <xdr:cNvPr id="27" name="Straight Connector 26">
          <a:extLst>
            <a:ext uri="{FF2B5EF4-FFF2-40B4-BE49-F238E27FC236}">
              <a16:creationId xmlns:a16="http://schemas.microsoft.com/office/drawing/2014/main" id="{3BAD91F0-94C0-4481-9ABB-5F050BE7EEAA}"/>
            </a:ext>
          </a:extLst>
        </xdr:cNvPr>
        <xdr:cNvCxnSpPr/>
      </xdr:nvCxnSpPr>
      <xdr:spPr>
        <a:xfrm>
          <a:off x="13204495" y="493925"/>
          <a:ext cx="0" cy="66437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5341</xdr:colOff>
      <xdr:row>45</xdr:row>
      <xdr:rowOff>203777</xdr:rowOff>
    </xdr:from>
    <xdr:to>
      <xdr:col>2</xdr:col>
      <xdr:colOff>5341</xdr:colOff>
      <xdr:row>49</xdr:row>
      <xdr:rowOff>1733</xdr:rowOff>
    </xdr:to>
    <xdr:cxnSp macro="">
      <xdr:nvCxnSpPr>
        <xdr:cNvPr id="28" name="Straight Connector 27">
          <a:extLst>
            <a:ext uri="{FF2B5EF4-FFF2-40B4-BE49-F238E27FC236}">
              <a16:creationId xmlns:a16="http://schemas.microsoft.com/office/drawing/2014/main" id="{DC489257-9701-4DA2-AF50-11255E0BF7AD}"/>
            </a:ext>
          </a:extLst>
        </xdr:cNvPr>
        <xdr:cNvCxnSpPr/>
      </xdr:nvCxnSpPr>
      <xdr:spPr>
        <a:xfrm>
          <a:off x="12301929" y="480189"/>
          <a:ext cx="0" cy="66454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597911</xdr:colOff>
      <xdr:row>46</xdr:row>
      <xdr:rowOff>17030</xdr:rowOff>
    </xdr:from>
    <xdr:to>
      <xdr:col>4</xdr:col>
      <xdr:colOff>597911</xdr:colOff>
      <xdr:row>49</xdr:row>
      <xdr:rowOff>31463</xdr:rowOff>
    </xdr:to>
    <xdr:cxnSp macro="">
      <xdr:nvCxnSpPr>
        <xdr:cNvPr id="29" name="Straight Connector 28">
          <a:extLst>
            <a:ext uri="{FF2B5EF4-FFF2-40B4-BE49-F238E27FC236}">
              <a16:creationId xmlns:a16="http://schemas.microsoft.com/office/drawing/2014/main" id="{0953FF6A-AE3C-4A33-B568-D93B3B1F8BF0}"/>
            </a:ext>
          </a:extLst>
        </xdr:cNvPr>
        <xdr:cNvCxnSpPr/>
      </xdr:nvCxnSpPr>
      <xdr:spPr>
        <a:xfrm>
          <a:off x="14122664" y="510089"/>
          <a:ext cx="0" cy="66437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7073</xdr:colOff>
      <xdr:row>46</xdr:row>
      <xdr:rowOff>10680</xdr:rowOff>
    </xdr:from>
    <xdr:to>
      <xdr:col>6</xdr:col>
      <xdr:colOff>7073</xdr:colOff>
      <xdr:row>49</xdr:row>
      <xdr:rowOff>25113</xdr:rowOff>
    </xdr:to>
    <xdr:cxnSp macro="">
      <xdr:nvCxnSpPr>
        <xdr:cNvPr id="30" name="Straight Connector 29">
          <a:extLst>
            <a:ext uri="{FF2B5EF4-FFF2-40B4-BE49-F238E27FC236}">
              <a16:creationId xmlns:a16="http://schemas.microsoft.com/office/drawing/2014/main" id="{7E3931B0-055A-487F-82C3-70EAA80AF250}"/>
            </a:ext>
          </a:extLst>
        </xdr:cNvPr>
        <xdr:cNvCxnSpPr/>
      </xdr:nvCxnSpPr>
      <xdr:spPr>
        <a:xfrm>
          <a:off x="14619544" y="503739"/>
          <a:ext cx="0" cy="66437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14432</xdr:colOff>
      <xdr:row>50</xdr:row>
      <xdr:rowOff>7216</xdr:rowOff>
    </xdr:from>
    <xdr:to>
      <xdr:col>6</xdr:col>
      <xdr:colOff>21648</xdr:colOff>
      <xdr:row>50</xdr:row>
      <xdr:rowOff>7216</xdr:rowOff>
    </xdr:to>
    <xdr:cxnSp macro="">
      <xdr:nvCxnSpPr>
        <xdr:cNvPr id="31" name="Straight Arrow Connector 30">
          <a:extLst>
            <a:ext uri="{FF2B5EF4-FFF2-40B4-BE49-F238E27FC236}">
              <a16:creationId xmlns:a16="http://schemas.microsoft.com/office/drawing/2014/main" id="{09A04D60-19A8-475D-95D7-3D11BDF3091B}"/>
            </a:ext>
          </a:extLst>
        </xdr:cNvPr>
        <xdr:cNvCxnSpPr/>
      </xdr:nvCxnSpPr>
      <xdr:spPr>
        <a:xfrm>
          <a:off x="12311020" y="1366863"/>
          <a:ext cx="2323099"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50</xdr:row>
      <xdr:rowOff>7216</xdr:rowOff>
    </xdr:from>
    <xdr:to>
      <xdr:col>2</xdr:col>
      <xdr:colOff>21648</xdr:colOff>
      <xdr:row>50</xdr:row>
      <xdr:rowOff>8081</xdr:rowOff>
    </xdr:to>
    <xdr:cxnSp macro="">
      <xdr:nvCxnSpPr>
        <xdr:cNvPr id="32" name="Straight Arrow Connector 31">
          <a:extLst>
            <a:ext uri="{FF2B5EF4-FFF2-40B4-BE49-F238E27FC236}">
              <a16:creationId xmlns:a16="http://schemas.microsoft.com/office/drawing/2014/main" id="{F255118A-CB75-45A2-A1EF-B6A31B83B147}"/>
            </a:ext>
          </a:extLst>
        </xdr:cNvPr>
        <xdr:cNvCxnSpPr/>
      </xdr:nvCxnSpPr>
      <xdr:spPr>
        <a:xfrm flipV="1">
          <a:off x="11407588" y="1366863"/>
          <a:ext cx="910648" cy="865"/>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23380</xdr:colOff>
      <xdr:row>50</xdr:row>
      <xdr:rowOff>8082</xdr:rowOff>
    </xdr:from>
    <xdr:to>
      <xdr:col>7</xdr:col>
      <xdr:colOff>404956</xdr:colOff>
      <xdr:row>50</xdr:row>
      <xdr:rowOff>8947</xdr:rowOff>
    </xdr:to>
    <xdr:cxnSp macro="">
      <xdr:nvCxnSpPr>
        <xdr:cNvPr id="33" name="Straight Arrow Connector 32">
          <a:extLst>
            <a:ext uri="{FF2B5EF4-FFF2-40B4-BE49-F238E27FC236}">
              <a16:creationId xmlns:a16="http://schemas.microsoft.com/office/drawing/2014/main" id="{4D692527-5C94-4B40-8F4A-DDF69DA84597}"/>
            </a:ext>
          </a:extLst>
        </xdr:cNvPr>
        <xdr:cNvCxnSpPr/>
      </xdr:nvCxnSpPr>
      <xdr:spPr>
        <a:xfrm flipV="1">
          <a:off x="14635851" y="1367729"/>
          <a:ext cx="740164" cy="865"/>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51</xdr:row>
      <xdr:rowOff>204643</xdr:rowOff>
    </xdr:from>
    <xdr:to>
      <xdr:col>7</xdr:col>
      <xdr:colOff>404091</xdr:colOff>
      <xdr:row>52</xdr:row>
      <xdr:rowOff>0</xdr:rowOff>
    </xdr:to>
    <xdr:cxnSp macro="">
      <xdr:nvCxnSpPr>
        <xdr:cNvPr id="34" name="Straight Arrow Connector 33">
          <a:extLst>
            <a:ext uri="{FF2B5EF4-FFF2-40B4-BE49-F238E27FC236}">
              <a16:creationId xmlns:a16="http://schemas.microsoft.com/office/drawing/2014/main" id="{48B004A5-D066-4562-A82B-8375289C79E2}"/>
            </a:ext>
          </a:extLst>
        </xdr:cNvPr>
        <xdr:cNvCxnSpPr/>
      </xdr:nvCxnSpPr>
      <xdr:spPr>
        <a:xfrm>
          <a:off x="11407588" y="1780937"/>
          <a:ext cx="3967562" cy="12004"/>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512329</xdr:colOff>
      <xdr:row>46</xdr:row>
      <xdr:rowOff>10390</xdr:rowOff>
    </xdr:from>
    <xdr:to>
      <xdr:col>7</xdr:col>
      <xdr:colOff>518968</xdr:colOff>
      <xdr:row>49</xdr:row>
      <xdr:rowOff>7216</xdr:rowOff>
    </xdr:to>
    <xdr:cxnSp macro="">
      <xdr:nvCxnSpPr>
        <xdr:cNvPr id="35" name="Straight Arrow Connector 34">
          <a:extLst>
            <a:ext uri="{FF2B5EF4-FFF2-40B4-BE49-F238E27FC236}">
              <a16:creationId xmlns:a16="http://schemas.microsoft.com/office/drawing/2014/main" id="{AD84B3A2-F446-4E78-A620-3C614C13DC4A}"/>
            </a:ext>
          </a:extLst>
        </xdr:cNvPr>
        <xdr:cNvCxnSpPr/>
      </xdr:nvCxnSpPr>
      <xdr:spPr>
        <a:xfrm flipH="1">
          <a:off x="15464338" y="503449"/>
          <a:ext cx="289" cy="646767"/>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507999</xdr:colOff>
      <xdr:row>0</xdr:row>
      <xdr:rowOff>57150</xdr:rowOff>
    </xdr:from>
    <xdr:to>
      <xdr:col>18</xdr:col>
      <xdr:colOff>412750</xdr:colOff>
      <xdr:row>39</xdr:row>
      <xdr:rowOff>42924</xdr:rowOff>
    </xdr:to>
    <xdr:pic>
      <xdr:nvPicPr>
        <xdr:cNvPr id="2" name="Picture 1">
          <a:extLst>
            <a:ext uri="{FF2B5EF4-FFF2-40B4-BE49-F238E27FC236}">
              <a16:creationId xmlns:a16="http://schemas.microsoft.com/office/drawing/2014/main" id="{B0A17DCD-A53D-FE5A-2A5D-7A5CA91D1D8D}"/>
            </a:ext>
          </a:extLst>
        </xdr:cNvPr>
        <xdr:cNvPicPr>
          <a:picLocks noChangeAspect="1"/>
        </xdr:cNvPicPr>
      </xdr:nvPicPr>
      <xdr:blipFill>
        <a:blip xmlns:r="http://schemas.openxmlformats.org/officeDocument/2006/relationships" r:embed="rId1"/>
        <a:stretch>
          <a:fillRect/>
        </a:stretch>
      </xdr:blipFill>
      <xdr:spPr>
        <a:xfrm>
          <a:off x="507999" y="57150"/>
          <a:ext cx="10877551" cy="71676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4132</xdr:colOff>
      <xdr:row>21</xdr:row>
      <xdr:rowOff>123</xdr:rowOff>
    </xdr:from>
    <xdr:to>
      <xdr:col>4</xdr:col>
      <xdr:colOff>121760</xdr:colOff>
      <xdr:row>21</xdr:row>
      <xdr:rowOff>131053</xdr:rowOff>
    </xdr:to>
    <xdr:sp macro="" textlink="">
      <xdr:nvSpPr>
        <xdr:cNvPr id="2" name="Arc 1">
          <a:extLst>
            <a:ext uri="{FF2B5EF4-FFF2-40B4-BE49-F238E27FC236}">
              <a16:creationId xmlns:a16="http://schemas.microsoft.com/office/drawing/2014/main" id="{FF3ED695-726E-4027-B2A3-DD40924C8304}"/>
            </a:ext>
          </a:extLst>
        </xdr:cNvPr>
        <xdr:cNvSpPr/>
      </xdr:nvSpPr>
      <xdr:spPr>
        <a:xfrm rot="15772900">
          <a:off x="4061481" y="3810424"/>
          <a:ext cx="130930" cy="117628"/>
        </a:xfrm>
        <a:prstGeom prst="arc">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IN" sz="1100"/>
        </a:p>
      </xdr:txBody>
    </xdr:sp>
    <xdr:clientData/>
  </xdr:twoCellAnchor>
  <xdr:twoCellAnchor>
    <xdr:from>
      <xdr:col>3</xdr:col>
      <xdr:colOff>641351</xdr:colOff>
      <xdr:row>21</xdr:row>
      <xdr:rowOff>64911</xdr:rowOff>
    </xdr:from>
    <xdr:to>
      <xdr:col>4</xdr:col>
      <xdr:colOff>47877</xdr:colOff>
      <xdr:row>21</xdr:row>
      <xdr:rowOff>110873</xdr:rowOff>
    </xdr:to>
    <xdr:cxnSp macro="">
      <xdr:nvCxnSpPr>
        <xdr:cNvPr id="3" name="Straight Connector 2">
          <a:extLst>
            <a:ext uri="{FF2B5EF4-FFF2-40B4-BE49-F238E27FC236}">
              <a16:creationId xmlns:a16="http://schemas.microsoft.com/office/drawing/2014/main" id="{9C6864E7-E3CA-4C22-8746-17FBE56A46EC}"/>
            </a:ext>
          </a:extLst>
        </xdr:cNvPr>
        <xdr:cNvCxnSpPr/>
      </xdr:nvCxnSpPr>
      <xdr:spPr>
        <a:xfrm>
          <a:off x="4064001" y="3868561"/>
          <a:ext cx="47876" cy="4596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52918</xdr:colOff>
      <xdr:row>21</xdr:row>
      <xdr:rowOff>605</xdr:rowOff>
    </xdr:from>
    <xdr:to>
      <xdr:col>4</xdr:col>
      <xdr:colOff>102004</xdr:colOff>
      <xdr:row>21</xdr:row>
      <xdr:rowOff>46567</xdr:rowOff>
    </xdr:to>
    <xdr:cxnSp macro="">
      <xdr:nvCxnSpPr>
        <xdr:cNvPr id="4" name="Straight Connector 3">
          <a:extLst>
            <a:ext uri="{FF2B5EF4-FFF2-40B4-BE49-F238E27FC236}">
              <a16:creationId xmlns:a16="http://schemas.microsoft.com/office/drawing/2014/main" id="{123D6014-CB84-4637-9F3B-D216ADBE4E84}"/>
            </a:ext>
          </a:extLst>
        </xdr:cNvPr>
        <xdr:cNvCxnSpPr/>
      </xdr:nvCxnSpPr>
      <xdr:spPr>
        <a:xfrm>
          <a:off x="4116918" y="3804255"/>
          <a:ext cx="49086" cy="4596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4132</xdr:colOff>
      <xdr:row>28</xdr:row>
      <xdr:rowOff>123</xdr:rowOff>
    </xdr:from>
    <xdr:to>
      <xdr:col>4</xdr:col>
      <xdr:colOff>121760</xdr:colOff>
      <xdr:row>28</xdr:row>
      <xdr:rowOff>131053</xdr:rowOff>
    </xdr:to>
    <xdr:sp macro="" textlink="">
      <xdr:nvSpPr>
        <xdr:cNvPr id="5" name="Arc 4">
          <a:extLst>
            <a:ext uri="{FF2B5EF4-FFF2-40B4-BE49-F238E27FC236}">
              <a16:creationId xmlns:a16="http://schemas.microsoft.com/office/drawing/2014/main" id="{B2F136BC-D6BD-47F0-AB02-3F378A23CC1E}"/>
            </a:ext>
          </a:extLst>
        </xdr:cNvPr>
        <xdr:cNvSpPr/>
      </xdr:nvSpPr>
      <xdr:spPr>
        <a:xfrm rot="15772900">
          <a:off x="4061481" y="4985174"/>
          <a:ext cx="130930" cy="117628"/>
        </a:xfrm>
        <a:prstGeom prst="arc">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IN" sz="1100"/>
        </a:p>
      </xdr:txBody>
    </xdr:sp>
    <xdr:clientData/>
  </xdr:twoCellAnchor>
  <xdr:twoCellAnchor>
    <xdr:from>
      <xdr:col>3</xdr:col>
      <xdr:colOff>641351</xdr:colOff>
      <xdr:row>28</xdr:row>
      <xdr:rowOff>64911</xdr:rowOff>
    </xdr:from>
    <xdr:to>
      <xdr:col>4</xdr:col>
      <xdr:colOff>47877</xdr:colOff>
      <xdr:row>28</xdr:row>
      <xdr:rowOff>110873</xdr:rowOff>
    </xdr:to>
    <xdr:cxnSp macro="">
      <xdr:nvCxnSpPr>
        <xdr:cNvPr id="6" name="Straight Connector 5">
          <a:extLst>
            <a:ext uri="{FF2B5EF4-FFF2-40B4-BE49-F238E27FC236}">
              <a16:creationId xmlns:a16="http://schemas.microsoft.com/office/drawing/2014/main" id="{7D59E0A2-B54B-447E-B2F2-488351ED8F46}"/>
            </a:ext>
          </a:extLst>
        </xdr:cNvPr>
        <xdr:cNvCxnSpPr/>
      </xdr:nvCxnSpPr>
      <xdr:spPr>
        <a:xfrm>
          <a:off x="4064001" y="5043311"/>
          <a:ext cx="47876" cy="4596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52918</xdr:colOff>
      <xdr:row>28</xdr:row>
      <xdr:rowOff>605</xdr:rowOff>
    </xdr:from>
    <xdr:to>
      <xdr:col>4</xdr:col>
      <xdr:colOff>102004</xdr:colOff>
      <xdr:row>28</xdr:row>
      <xdr:rowOff>46567</xdr:rowOff>
    </xdr:to>
    <xdr:cxnSp macro="">
      <xdr:nvCxnSpPr>
        <xdr:cNvPr id="7" name="Straight Connector 6">
          <a:extLst>
            <a:ext uri="{FF2B5EF4-FFF2-40B4-BE49-F238E27FC236}">
              <a16:creationId xmlns:a16="http://schemas.microsoft.com/office/drawing/2014/main" id="{846DA83E-C4D5-40B5-974F-273821F5E555}"/>
            </a:ext>
          </a:extLst>
        </xdr:cNvPr>
        <xdr:cNvCxnSpPr/>
      </xdr:nvCxnSpPr>
      <xdr:spPr>
        <a:xfrm>
          <a:off x="4116918" y="4979005"/>
          <a:ext cx="49086" cy="4596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635001</xdr:colOff>
      <xdr:row>34</xdr:row>
      <xdr:rowOff>64943</xdr:rowOff>
    </xdr:from>
    <xdr:to>
      <xdr:col>4</xdr:col>
      <xdr:colOff>110413</xdr:colOff>
      <xdr:row>35</xdr:row>
      <xdr:rowOff>29907</xdr:rowOff>
    </xdr:to>
    <xdr:sp macro="" textlink="">
      <xdr:nvSpPr>
        <xdr:cNvPr id="8" name="Arc 7">
          <a:extLst>
            <a:ext uri="{FF2B5EF4-FFF2-40B4-BE49-F238E27FC236}">
              <a16:creationId xmlns:a16="http://schemas.microsoft.com/office/drawing/2014/main" id="{B07067F0-A1F8-4926-80FF-A21279E6550D}"/>
            </a:ext>
          </a:extLst>
        </xdr:cNvPr>
        <xdr:cNvSpPr/>
      </xdr:nvSpPr>
      <xdr:spPr>
        <a:xfrm rot="13855100">
          <a:off x="4051000" y="6027894"/>
          <a:ext cx="130064" cy="116762"/>
        </a:xfrm>
        <a:prstGeom prst="arc">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IN" sz="1100"/>
        </a:p>
      </xdr:txBody>
    </xdr:sp>
    <xdr:clientData/>
  </xdr:twoCellAnchor>
  <xdr:twoCellAnchor>
    <xdr:from>
      <xdr:col>5</xdr:col>
      <xdr:colOff>491548</xdr:colOff>
      <xdr:row>34</xdr:row>
      <xdr:rowOff>47769</xdr:rowOff>
    </xdr:from>
    <xdr:to>
      <xdr:col>6</xdr:col>
      <xdr:colOff>17472</xdr:colOff>
      <xdr:row>35</xdr:row>
      <xdr:rowOff>12733</xdr:rowOff>
    </xdr:to>
    <xdr:sp macro="" textlink="">
      <xdr:nvSpPr>
        <xdr:cNvPr id="9" name="Arc 8">
          <a:extLst>
            <a:ext uri="{FF2B5EF4-FFF2-40B4-BE49-F238E27FC236}">
              <a16:creationId xmlns:a16="http://schemas.microsoft.com/office/drawing/2014/main" id="{AC0A083E-2665-4BF6-B7E7-380E7E48386F}"/>
            </a:ext>
          </a:extLst>
        </xdr:cNvPr>
        <xdr:cNvSpPr/>
      </xdr:nvSpPr>
      <xdr:spPr>
        <a:xfrm rot="3270619">
          <a:off x="5164703" y="6010864"/>
          <a:ext cx="130064" cy="116474"/>
        </a:xfrm>
        <a:prstGeom prst="arc">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IN" sz="1100"/>
        </a:p>
      </xdr:txBody>
    </xdr:sp>
    <xdr:clientData/>
  </xdr:twoCellAnchor>
  <xdr:twoCellAnchor>
    <xdr:from>
      <xdr:col>4</xdr:col>
      <xdr:colOff>7217</xdr:colOff>
      <xdr:row>34</xdr:row>
      <xdr:rowOff>77877</xdr:rowOff>
    </xdr:from>
    <xdr:to>
      <xdr:col>4</xdr:col>
      <xdr:colOff>81758</xdr:colOff>
      <xdr:row>34</xdr:row>
      <xdr:rowOff>77877</xdr:rowOff>
    </xdr:to>
    <xdr:cxnSp macro="">
      <xdr:nvCxnSpPr>
        <xdr:cNvPr id="10" name="Straight Connector 9">
          <a:extLst>
            <a:ext uri="{FF2B5EF4-FFF2-40B4-BE49-F238E27FC236}">
              <a16:creationId xmlns:a16="http://schemas.microsoft.com/office/drawing/2014/main" id="{E01353D4-AABC-4E74-BA36-825D023140E6}"/>
            </a:ext>
          </a:extLst>
        </xdr:cNvPr>
        <xdr:cNvCxnSpPr/>
      </xdr:nvCxnSpPr>
      <xdr:spPr>
        <a:xfrm>
          <a:off x="4071217" y="6034177"/>
          <a:ext cx="74541"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525041</xdr:colOff>
      <xdr:row>34</xdr:row>
      <xdr:rowOff>77517</xdr:rowOff>
    </xdr:from>
    <xdr:to>
      <xdr:col>6</xdr:col>
      <xdr:colOff>9511</xdr:colOff>
      <xdr:row>34</xdr:row>
      <xdr:rowOff>77517</xdr:rowOff>
    </xdr:to>
    <xdr:cxnSp macro="">
      <xdr:nvCxnSpPr>
        <xdr:cNvPr id="11" name="Straight Connector 10">
          <a:extLst>
            <a:ext uri="{FF2B5EF4-FFF2-40B4-BE49-F238E27FC236}">
              <a16:creationId xmlns:a16="http://schemas.microsoft.com/office/drawing/2014/main" id="{567D19F2-AC09-41E7-A8E2-349966021FBC}"/>
            </a:ext>
          </a:extLst>
        </xdr:cNvPr>
        <xdr:cNvCxnSpPr/>
      </xdr:nvCxnSpPr>
      <xdr:spPr>
        <a:xfrm>
          <a:off x="5204991" y="6033817"/>
          <a:ext cx="7502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256565</xdr:colOff>
      <xdr:row>51</xdr:row>
      <xdr:rowOff>0</xdr:rowOff>
    </xdr:from>
    <xdr:to>
      <xdr:col>4</xdr:col>
      <xdr:colOff>12828</xdr:colOff>
      <xdr:row>52</xdr:row>
      <xdr:rowOff>89798</xdr:rowOff>
    </xdr:to>
    <xdr:cxnSp macro="">
      <xdr:nvCxnSpPr>
        <xdr:cNvPr id="12" name="Straight Connector 11">
          <a:extLst>
            <a:ext uri="{FF2B5EF4-FFF2-40B4-BE49-F238E27FC236}">
              <a16:creationId xmlns:a16="http://schemas.microsoft.com/office/drawing/2014/main" id="{CFA2901F-57CA-44EC-A0D1-1F75F24D7F1C}"/>
            </a:ext>
          </a:extLst>
        </xdr:cNvPr>
        <xdr:cNvCxnSpPr/>
      </xdr:nvCxnSpPr>
      <xdr:spPr>
        <a:xfrm flipH="1">
          <a:off x="3679215" y="9093200"/>
          <a:ext cx="397613" cy="25489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465</xdr:colOff>
      <xdr:row>51</xdr:row>
      <xdr:rowOff>3271</xdr:rowOff>
    </xdr:from>
    <xdr:to>
      <xdr:col>6</xdr:col>
      <xdr:colOff>322711</xdr:colOff>
      <xdr:row>52</xdr:row>
      <xdr:rowOff>68951</xdr:rowOff>
    </xdr:to>
    <xdr:cxnSp macro="">
      <xdr:nvCxnSpPr>
        <xdr:cNvPr id="13" name="Straight Connector 12">
          <a:extLst>
            <a:ext uri="{FF2B5EF4-FFF2-40B4-BE49-F238E27FC236}">
              <a16:creationId xmlns:a16="http://schemas.microsoft.com/office/drawing/2014/main" id="{5B6FB783-4185-4F5E-976F-20A485BFE356}"/>
            </a:ext>
          </a:extLst>
        </xdr:cNvPr>
        <xdr:cNvCxnSpPr/>
      </xdr:nvCxnSpPr>
      <xdr:spPr>
        <a:xfrm>
          <a:off x="5270965" y="9096471"/>
          <a:ext cx="322246" cy="23078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259773</xdr:colOff>
      <xdr:row>52</xdr:row>
      <xdr:rowOff>85789</xdr:rowOff>
    </xdr:from>
    <xdr:to>
      <xdr:col>3</xdr:col>
      <xdr:colOff>260575</xdr:colOff>
      <xdr:row>53</xdr:row>
      <xdr:rowOff>54119</xdr:rowOff>
    </xdr:to>
    <xdr:cxnSp macro="">
      <xdr:nvCxnSpPr>
        <xdr:cNvPr id="14" name="Straight Connector 13">
          <a:extLst>
            <a:ext uri="{FF2B5EF4-FFF2-40B4-BE49-F238E27FC236}">
              <a16:creationId xmlns:a16="http://schemas.microsoft.com/office/drawing/2014/main" id="{7CDC3DFD-54A1-4066-B86B-0AD6FFC79D1A}"/>
            </a:ext>
          </a:extLst>
        </xdr:cNvPr>
        <xdr:cNvCxnSpPr/>
      </xdr:nvCxnSpPr>
      <xdr:spPr>
        <a:xfrm flipH="1">
          <a:off x="3682423" y="9344089"/>
          <a:ext cx="802" cy="13343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318365</xdr:colOff>
      <xdr:row>52</xdr:row>
      <xdr:rowOff>61399</xdr:rowOff>
    </xdr:from>
    <xdr:to>
      <xdr:col>6</xdr:col>
      <xdr:colOff>319167</xdr:colOff>
      <xdr:row>53</xdr:row>
      <xdr:rowOff>29729</xdr:rowOff>
    </xdr:to>
    <xdr:cxnSp macro="">
      <xdr:nvCxnSpPr>
        <xdr:cNvPr id="15" name="Straight Connector 14">
          <a:extLst>
            <a:ext uri="{FF2B5EF4-FFF2-40B4-BE49-F238E27FC236}">
              <a16:creationId xmlns:a16="http://schemas.microsoft.com/office/drawing/2014/main" id="{F2FA8AE9-314A-4EAD-88DC-E2ED38BFC71F}"/>
            </a:ext>
          </a:extLst>
        </xdr:cNvPr>
        <xdr:cNvCxnSpPr/>
      </xdr:nvCxnSpPr>
      <xdr:spPr>
        <a:xfrm flipH="1">
          <a:off x="5588865" y="9319699"/>
          <a:ext cx="802" cy="13343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256565</xdr:colOff>
      <xdr:row>56</xdr:row>
      <xdr:rowOff>0</xdr:rowOff>
    </xdr:from>
    <xdr:to>
      <xdr:col>4</xdr:col>
      <xdr:colOff>12828</xdr:colOff>
      <xdr:row>57</xdr:row>
      <xdr:rowOff>89798</xdr:rowOff>
    </xdr:to>
    <xdr:cxnSp macro="">
      <xdr:nvCxnSpPr>
        <xdr:cNvPr id="16" name="Straight Connector 15">
          <a:extLst>
            <a:ext uri="{FF2B5EF4-FFF2-40B4-BE49-F238E27FC236}">
              <a16:creationId xmlns:a16="http://schemas.microsoft.com/office/drawing/2014/main" id="{9CF60FCD-45EC-432A-9573-664205BC7A5D}"/>
            </a:ext>
          </a:extLst>
        </xdr:cNvPr>
        <xdr:cNvCxnSpPr/>
      </xdr:nvCxnSpPr>
      <xdr:spPr>
        <a:xfrm flipH="1">
          <a:off x="3679215" y="9918700"/>
          <a:ext cx="397613" cy="25489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465</xdr:colOff>
      <xdr:row>56</xdr:row>
      <xdr:rowOff>3271</xdr:rowOff>
    </xdr:from>
    <xdr:to>
      <xdr:col>6</xdr:col>
      <xdr:colOff>322711</xdr:colOff>
      <xdr:row>57</xdr:row>
      <xdr:rowOff>68951</xdr:rowOff>
    </xdr:to>
    <xdr:cxnSp macro="">
      <xdr:nvCxnSpPr>
        <xdr:cNvPr id="17" name="Straight Connector 16">
          <a:extLst>
            <a:ext uri="{FF2B5EF4-FFF2-40B4-BE49-F238E27FC236}">
              <a16:creationId xmlns:a16="http://schemas.microsoft.com/office/drawing/2014/main" id="{D68731CF-DC66-4B56-9BCE-1A0CD301B1D7}"/>
            </a:ext>
          </a:extLst>
        </xdr:cNvPr>
        <xdr:cNvCxnSpPr/>
      </xdr:nvCxnSpPr>
      <xdr:spPr>
        <a:xfrm>
          <a:off x="5270965" y="9921971"/>
          <a:ext cx="322246" cy="23078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259773</xdr:colOff>
      <xdr:row>57</xdr:row>
      <xdr:rowOff>85789</xdr:rowOff>
    </xdr:from>
    <xdr:to>
      <xdr:col>3</xdr:col>
      <xdr:colOff>260575</xdr:colOff>
      <xdr:row>58</xdr:row>
      <xdr:rowOff>54119</xdr:rowOff>
    </xdr:to>
    <xdr:cxnSp macro="">
      <xdr:nvCxnSpPr>
        <xdr:cNvPr id="18" name="Straight Connector 17">
          <a:extLst>
            <a:ext uri="{FF2B5EF4-FFF2-40B4-BE49-F238E27FC236}">
              <a16:creationId xmlns:a16="http://schemas.microsoft.com/office/drawing/2014/main" id="{3EEAD60B-4559-4CA2-A71E-C8AA8061B372}"/>
            </a:ext>
          </a:extLst>
        </xdr:cNvPr>
        <xdr:cNvCxnSpPr/>
      </xdr:nvCxnSpPr>
      <xdr:spPr>
        <a:xfrm flipH="1">
          <a:off x="3682423" y="10169589"/>
          <a:ext cx="802" cy="13343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318365</xdr:colOff>
      <xdr:row>57</xdr:row>
      <xdr:rowOff>61399</xdr:rowOff>
    </xdr:from>
    <xdr:to>
      <xdr:col>6</xdr:col>
      <xdr:colOff>319167</xdr:colOff>
      <xdr:row>58</xdr:row>
      <xdr:rowOff>29729</xdr:rowOff>
    </xdr:to>
    <xdr:cxnSp macro="">
      <xdr:nvCxnSpPr>
        <xdr:cNvPr id="19" name="Straight Connector 18">
          <a:extLst>
            <a:ext uri="{FF2B5EF4-FFF2-40B4-BE49-F238E27FC236}">
              <a16:creationId xmlns:a16="http://schemas.microsoft.com/office/drawing/2014/main" id="{8505D380-F0F0-4662-B012-E3F0A722B0DE}"/>
            </a:ext>
          </a:extLst>
        </xdr:cNvPr>
        <xdr:cNvCxnSpPr/>
      </xdr:nvCxnSpPr>
      <xdr:spPr>
        <a:xfrm flipH="1">
          <a:off x="5588865" y="10145199"/>
          <a:ext cx="802" cy="13343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263769</xdr:colOff>
      <xdr:row>41</xdr:row>
      <xdr:rowOff>9769</xdr:rowOff>
    </xdr:from>
    <xdr:to>
      <xdr:col>4</xdr:col>
      <xdr:colOff>0</xdr:colOff>
      <xdr:row>41</xdr:row>
      <xdr:rowOff>9769</xdr:rowOff>
    </xdr:to>
    <xdr:cxnSp macro="">
      <xdr:nvCxnSpPr>
        <xdr:cNvPr id="21" name="Straight Connector 20">
          <a:extLst>
            <a:ext uri="{FF2B5EF4-FFF2-40B4-BE49-F238E27FC236}">
              <a16:creationId xmlns:a16="http://schemas.microsoft.com/office/drawing/2014/main" id="{8665BF88-7FDF-0AAE-2097-EEAAD9BECFCC}"/>
            </a:ext>
          </a:extLst>
        </xdr:cNvPr>
        <xdr:cNvCxnSpPr/>
      </xdr:nvCxnSpPr>
      <xdr:spPr>
        <a:xfrm flipH="1">
          <a:off x="4054231" y="8421077"/>
          <a:ext cx="341923"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41</xdr:row>
      <xdr:rowOff>9769</xdr:rowOff>
    </xdr:from>
    <xdr:to>
      <xdr:col>5</xdr:col>
      <xdr:colOff>429846</xdr:colOff>
      <xdr:row>41</xdr:row>
      <xdr:rowOff>9769</xdr:rowOff>
    </xdr:to>
    <xdr:cxnSp macro="">
      <xdr:nvCxnSpPr>
        <xdr:cNvPr id="23" name="Straight Connector 22">
          <a:extLst>
            <a:ext uri="{FF2B5EF4-FFF2-40B4-BE49-F238E27FC236}">
              <a16:creationId xmlns:a16="http://schemas.microsoft.com/office/drawing/2014/main" id="{974C90C0-B38A-6A9B-E9AB-0B8338D1572B}"/>
            </a:ext>
          </a:extLst>
        </xdr:cNvPr>
        <xdr:cNvCxnSpPr/>
      </xdr:nvCxnSpPr>
      <xdr:spPr>
        <a:xfrm>
          <a:off x="5001846" y="8421077"/>
          <a:ext cx="429846"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B3198-3468-4475-AD5B-1958CEE0313A}">
  <sheetPr>
    <pageSetUpPr fitToPage="1"/>
  </sheetPr>
  <dimension ref="A1:J25"/>
  <sheetViews>
    <sheetView zoomScale="85" zoomScaleNormal="85" workbookViewId="0">
      <pane ySplit="4" topLeftCell="A11" activePane="bottomLeft" state="frozen"/>
      <selection pane="bottomLeft" sqref="A1:G14"/>
    </sheetView>
  </sheetViews>
  <sheetFormatPr defaultColWidth="8.81640625" defaultRowHeight="20"/>
  <cols>
    <col min="1" max="1" width="5.1796875" style="127" bestFit="1" customWidth="1"/>
    <col min="2" max="2" width="94.1796875" style="189" customWidth="1"/>
    <col min="3" max="3" width="6" style="128" bestFit="1" customWidth="1"/>
    <col min="4" max="4" width="9.6328125" style="129" bestFit="1" customWidth="1"/>
    <col min="5" max="5" width="6.08984375" style="102" bestFit="1" customWidth="1"/>
    <col min="6" max="6" width="9" style="102" bestFit="1" customWidth="1"/>
    <col min="7" max="7" width="9.7265625" style="102" bestFit="1" customWidth="1"/>
    <col min="8" max="8" width="8.81640625" style="102"/>
    <col min="9" max="9" width="6.54296875" style="102" bestFit="1" customWidth="1"/>
    <col min="10" max="10" width="4.81640625" style="102" bestFit="1" customWidth="1"/>
    <col min="11" max="16384" width="8.81640625" style="102"/>
  </cols>
  <sheetData>
    <row r="1" spans="1:10" s="101" customFormat="1">
      <c r="A1" s="141" t="s">
        <v>107</v>
      </c>
      <c r="B1" s="142"/>
      <c r="C1" s="142"/>
      <c r="D1" s="142"/>
      <c r="E1" s="142"/>
      <c r="F1" s="142"/>
      <c r="G1" s="143"/>
    </row>
    <row r="2" spans="1:10" s="101" customFormat="1">
      <c r="A2" s="144" t="s">
        <v>108</v>
      </c>
      <c r="B2" s="145"/>
      <c r="C2" s="145"/>
      <c r="D2" s="145"/>
      <c r="E2" s="145"/>
      <c r="F2" s="145"/>
      <c r="G2" s="146"/>
    </row>
    <row r="3" spans="1:10" s="101" customFormat="1">
      <c r="A3" s="147" t="s">
        <v>114</v>
      </c>
      <c r="B3" s="148"/>
      <c r="C3" s="148"/>
      <c r="D3" s="148"/>
      <c r="E3" s="148"/>
      <c r="F3" s="148"/>
      <c r="G3" s="149"/>
    </row>
    <row r="4" spans="1:10" ht="40">
      <c r="A4" s="103" t="s">
        <v>0</v>
      </c>
      <c r="B4" s="187" t="s">
        <v>80</v>
      </c>
      <c r="C4" s="104" t="s">
        <v>68</v>
      </c>
      <c r="D4" s="105" t="s">
        <v>69</v>
      </c>
      <c r="E4" s="106" t="s">
        <v>81</v>
      </c>
      <c r="F4" s="107" t="s">
        <v>82</v>
      </c>
      <c r="G4" s="108" t="s">
        <v>83</v>
      </c>
    </row>
    <row r="5" spans="1:10" ht="300">
      <c r="A5" s="109">
        <v>1</v>
      </c>
      <c r="B5" s="110" t="s">
        <v>109</v>
      </c>
      <c r="C5" s="111" t="s">
        <v>84</v>
      </c>
      <c r="D5" s="112">
        <f>'Quantity OHG Full width'!H37+'Quantity OHG Half width'!H37</f>
        <v>320.18875000000003</v>
      </c>
      <c r="E5" s="113"/>
      <c r="F5" s="113"/>
      <c r="G5" s="114"/>
      <c r="I5" s="115">
        <v>128.07550000000001</v>
      </c>
      <c r="J5" s="115">
        <f t="shared" ref="J5:J10" si="0">D5/I5</f>
        <v>2.5</v>
      </c>
    </row>
    <row r="6" spans="1:10" ht="320">
      <c r="A6" s="109">
        <f>A5+1</f>
        <v>2</v>
      </c>
      <c r="B6" s="110" t="s">
        <v>110</v>
      </c>
      <c r="C6" s="111" t="s">
        <v>84</v>
      </c>
      <c r="D6" s="116">
        <f>'Quantity OHG Full width'!H38+'Quantity OHG Half width'!H38</f>
        <v>21.700500000000005</v>
      </c>
      <c r="E6" s="117"/>
      <c r="F6" s="117"/>
      <c r="G6" s="118"/>
      <c r="I6" s="115">
        <v>8.680200000000001</v>
      </c>
      <c r="J6" s="115">
        <f t="shared" si="0"/>
        <v>2.5000000000000004</v>
      </c>
    </row>
    <row r="7" spans="1:10" ht="340">
      <c r="A7" s="109">
        <f t="shared" ref="A7:A10" si="1">A6+1</f>
        <v>3</v>
      </c>
      <c r="B7" s="110" t="s">
        <v>111</v>
      </c>
      <c r="C7" s="111" t="s">
        <v>8</v>
      </c>
      <c r="D7" s="116">
        <f>'Quantity OHG Full width'!H39+'Quantity OHG Half width'!H39</f>
        <v>65.231277315211784</v>
      </c>
      <c r="E7" s="117"/>
      <c r="F7" s="117"/>
      <c r="G7" s="118"/>
      <c r="I7" s="119">
        <v>26.09251092608471</v>
      </c>
      <c r="J7" s="115">
        <f t="shared" si="0"/>
        <v>2.5000000000000004</v>
      </c>
    </row>
    <row r="8" spans="1:10" ht="320">
      <c r="A8" s="109">
        <f t="shared" si="1"/>
        <v>4</v>
      </c>
      <c r="B8" s="120" t="s">
        <v>112</v>
      </c>
      <c r="C8" s="111" t="str">
        <f>'Quantity OHG Full width'!J33</f>
        <v>MT</v>
      </c>
      <c r="D8" s="136">
        <f>ROUND('Quantity OHG Full width'!H40+'Quantity OHG Half width'!H40,2)</f>
        <v>4.32</v>
      </c>
      <c r="E8" s="113"/>
      <c r="F8" s="117"/>
      <c r="G8" s="114"/>
      <c r="I8" s="115">
        <v>3.3920264203910127</v>
      </c>
      <c r="J8" s="115">
        <f t="shared" si="0"/>
        <v>1.2735749857461358</v>
      </c>
    </row>
    <row r="9" spans="1:10" ht="240">
      <c r="A9" s="109">
        <f t="shared" si="1"/>
        <v>5</v>
      </c>
      <c r="B9" s="110" t="s">
        <v>118</v>
      </c>
      <c r="C9" s="111" t="s">
        <v>76</v>
      </c>
      <c r="D9" s="112">
        <f>ROUND('Quantity OHG Full width'!H41+'Quantity OHG Half width'!H41,2)</f>
        <v>27.52</v>
      </c>
      <c r="E9" s="113"/>
      <c r="F9" s="117"/>
      <c r="G9" s="114"/>
      <c r="I9" s="115">
        <v>7.1655653902341445</v>
      </c>
      <c r="J9" s="115">
        <f t="shared" si="0"/>
        <v>3.8405901699685341</v>
      </c>
    </row>
    <row r="10" spans="1:10" ht="409.5">
      <c r="A10" s="109">
        <f t="shared" si="1"/>
        <v>6</v>
      </c>
      <c r="B10" s="120" t="s">
        <v>113</v>
      </c>
      <c r="C10" s="111" t="s">
        <v>86</v>
      </c>
      <c r="D10" s="116">
        <f>'Quantity OHG Full width'!H42+'Quantity OHG Half width'!H42</f>
        <v>175.95</v>
      </c>
      <c r="E10" s="117"/>
      <c r="F10" s="117"/>
      <c r="G10" s="118"/>
      <c r="I10" s="115">
        <v>58.65</v>
      </c>
      <c r="J10" s="115">
        <f t="shared" si="0"/>
        <v>3</v>
      </c>
    </row>
    <row r="11" spans="1:10">
      <c r="A11" s="109">
        <v>7</v>
      </c>
      <c r="B11" s="120" t="s">
        <v>104</v>
      </c>
      <c r="C11" s="111" t="s">
        <v>103</v>
      </c>
      <c r="D11" s="116"/>
      <c r="E11" s="117"/>
      <c r="F11" s="117"/>
      <c r="G11" s="118"/>
      <c r="I11" s="121"/>
      <c r="J11" s="121"/>
    </row>
    <row r="12" spans="1:10">
      <c r="A12" s="140" t="s">
        <v>117</v>
      </c>
      <c r="B12" s="140"/>
      <c r="C12" s="140"/>
      <c r="D12" s="140"/>
      <c r="E12" s="140"/>
      <c r="F12" s="131">
        <f>SUM(F5:F11)</f>
        <v>0</v>
      </c>
      <c r="G12" s="118"/>
      <c r="I12" s="121"/>
      <c r="J12" s="121"/>
    </row>
    <row r="13" spans="1:10" s="130" customFormat="1">
      <c r="A13" s="150" t="s">
        <v>115</v>
      </c>
      <c r="B13" s="151"/>
      <c r="C13" s="151"/>
      <c r="D13" s="151"/>
      <c r="E13" s="152"/>
      <c r="F13" s="134">
        <f>F12*0.18</f>
        <v>0</v>
      </c>
      <c r="G13" s="132"/>
    </row>
    <row r="14" spans="1:10" s="130" customFormat="1" ht="20.5" thickBot="1">
      <c r="A14" s="137" t="s">
        <v>116</v>
      </c>
      <c r="B14" s="138"/>
      <c r="C14" s="138"/>
      <c r="D14" s="138"/>
      <c r="E14" s="139"/>
      <c r="F14" s="135">
        <f>F13+F12</f>
        <v>0</v>
      </c>
      <c r="G14" s="133"/>
    </row>
    <row r="15" spans="1:10">
      <c r="A15" s="122"/>
      <c r="B15" s="188"/>
      <c r="C15" s="124"/>
      <c r="D15" s="125"/>
      <c r="E15" s="123"/>
      <c r="F15" s="126"/>
      <c r="G15" s="123"/>
    </row>
    <row r="16" spans="1:10">
      <c r="A16" s="122"/>
      <c r="B16" s="188"/>
      <c r="C16" s="124"/>
      <c r="D16" s="125"/>
      <c r="E16" s="123"/>
      <c r="F16" s="126"/>
      <c r="G16" s="123"/>
    </row>
    <row r="17" spans="1:7">
      <c r="A17" s="122"/>
      <c r="B17" s="188"/>
      <c r="C17" s="124"/>
      <c r="D17" s="125"/>
      <c r="E17" s="123"/>
      <c r="F17" s="123"/>
      <c r="G17" s="123"/>
    </row>
    <row r="18" spans="1:7">
      <c r="A18" s="122"/>
      <c r="B18" s="188"/>
      <c r="C18" s="124"/>
      <c r="D18" s="125"/>
      <c r="E18" s="123"/>
      <c r="F18" s="123"/>
      <c r="G18" s="123"/>
    </row>
    <row r="19" spans="1:7">
      <c r="A19" s="122"/>
      <c r="B19" s="188"/>
      <c r="C19" s="124"/>
      <c r="D19" s="125"/>
      <c r="E19" s="123"/>
      <c r="F19" s="123"/>
      <c r="G19" s="123"/>
    </row>
    <row r="20" spans="1:7">
      <c r="A20" s="122"/>
      <c r="B20" s="188"/>
      <c r="C20" s="124"/>
      <c r="D20" s="125"/>
      <c r="E20" s="123"/>
      <c r="F20" s="123"/>
      <c r="G20" s="123"/>
    </row>
    <row r="21" spans="1:7">
      <c r="A21" s="122"/>
      <c r="B21" s="188"/>
      <c r="C21" s="124"/>
      <c r="D21" s="125"/>
      <c r="E21" s="123"/>
      <c r="F21" s="123"/>
      <c r="G21" s="123"/>
    </row>
    <row r="22" spans="1:7">
      <c r="A22" s="122"/>
      <c r="B22" s="188"/>
      <c r="C22" s="124"/>
      <c r="D22" s="125"/>
      <c r="E22" s="123"/>
      <c r="F22" s="123"/>
      <c r="G22" s="123"/>
    </row>
    <row r="23" spans="1:7">
      <c r="A23" s="122"/>
      <c r="B23" s="188"/>
      <c r="C23" s="124"/>
      <c r="D23" s="125"/>
      <c r="E23" s="123"/>
      <c r="F23" s="123"/>
      <c r="G23" s="123"/>
    </row>
    <row r="24" spans="1:7">
      <c r="A24" s="122"/>
      <c r="B24" s="188"/>
      <c r="C24" s="124"/>
      <c r="D24" s="125"/>
      <c r="E24" s="123"/>
      <c r="F24" s="123"/>
      <c r="G24" s="123"/>
    </row>
    <row r="25" spans="1:7">
      <c r="A25" s="122"/>
      <c r="B25" s="188"/>
      <c r="C25" s="124"/>
      <c r="D25" s="125"/>
      <c r="E25" s="123"/>
      <c r="F25" s="123"/>
      <c r="G25" s="123"/>
    </row>
  </sheetData>
  <mergeCells count="6">
    <mergeCell ref="A14:E14"/>
    <mergeCell ref="A12:E12"/>
    <mergeCell ref="A1:G1"/>
    <mergeCell ref="A2:G2"/>
    <mergeCell ref="A3:G3"/>
    <mergeCell ref="A13:E13"/>
  </mergeCells>
  <pageMargins left="0.25" right="0.25" top="0.75" bottom="0.75" header="0.3" footer="0.3"/>
  <pageSetup scale="7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9F754-8A34-4145-BEA2-7449DC53D71C}">
  <sheetPr>
    <pageSetUpPr fitToPage="1"/>
  </sheetPr>
  <dimension ref="A1:S59"/>
  <sheetViews>
    <sheetView zoomScale="85" zoomScaleNormal="88" workbookViewId="0">
      <pane ySplit="2" topLeftCell="A3" activePane="bottomLeft" state="frozen"/>
      <selection activeCell="J35" sqref="J35"/>
      <selection pane="bottomLeft" activeCell="J56" sqref="A1:J56"/>
    </sheetView>
  </sheetViews>
  <sheetFormatPr defaultColWidth="8.81640625" defaultRowHeight="17"/>
  <cols>
    <col min="1" max="1" width="4.453125" style="8" bestFit="1" customWidth="1"/>
    <col min="2" max="2" width="51.7265625" style="1" bestFit="1" customWidth="1"/>
    <col min="3" max="3" width="12.08984375" style="1" bestFit="1" customWidth="1"/>
    <col min="4" max="4" width="4.81640625" style="3" bestFit="1" customWidth="1"/>
    <col min="5" max="5" width="18.453125" style="1" bestFit="1" customWidth="1"/>
    <col min="6" max="6" width="11.453125" style="1" bestFit="1" customWidth="1"/>
    <col min="7" max="7" width="10.6328125" style="1" bestFit="1" customWidth="1"/>
    <col min="8" max="8" width="10.26953125" style="1" bestFit="1" customWidth="1"/>
    <col min="9" max="9" width="8.453125" style="1" bestFit="1" customWidth="1"/>
    <col min="10" max="10" width="6.26953125" style="1" bestFit="1" customWidth="1"/>
    <col min="11" max="11" width="11.1796875" style="1" customWidth="1"/>
    <col min="12" max="13" width="12.7265625" style="1" bestFit="1" customWidth="1"/>
    <col min="14" max="14" width="6.26953125" style="1" bestFit="1" customWidth="1"/>
    <col min="15" max="16" width="8.81640625" style="1"/>
    <col min="17" max="17" width="5.1796875" style="1" bestFit="1" customWidth="1"/>
    <col min="18" max="18" width="8.81640625" style="1"/>
    <col min="19" max="19" width="5.1796875" style="1" bestFit="1" customWidth="1"/>
    <col min="20" max="16384" width="8.81640625" style="1"/>
  </cols>
  <sheetData>
    <row r="1" spans="1:19" ht="21.5">
      <c r="A1" s="159" t="s">
        <v>105</v>
      </c>
      <c r="B1" s="159"/>
      <c r="C1" s="159"/>
      <c r="D1" s="159"/>
      <c r="E1" s="159"/>
      <c r="F1" s="159"/>
      <c r="G1" s="159"/>
      <c r="H1" s="159"/>
      <c r="I1" s="159"/>
      <c r="J1" s="159"/>
      <c r="K1" s="82"/>
    </row>
    <row r="2" spans="1:19" s="8" customFormat="1">
      <c r="A2" s="6" t="s">
        <v>0</v>
      </c>
      <c r="B2" s="6" t="s">
        <v>1</v>
      </c>
      <c r="C2" s="6" t="s">
        <v>96</v>
      </c>
      <c r="D2" s="6" t="s">
        <v>2</v>
      </c>
      <c r="E2" s="6" t="s">
        <v>4</v>
      </c>
      <c r="F2" s="6" t="s">
        <v>5</v>
      </c>
      <c r="G2" s="6" t="s">
        <v>6</v>
      </c>
      <c r="H2" s="6" t="s">
        <v>95</v>
      </c>
      <c r="I2" s="6" t="s">
        <v>7</v>
      </c>
      <c r="J2" s="9" t="s">
        <v>3</v>
      </c>
      <c r="K2" s="84"/>
      <c r="N2" s="8">
        <f>N7/M10</f>
        <v>2750</v>
      </c>
    </row>
    <row r="3" spans="1:19" s="3" customFormat="1" ht="18" customHeight="1">
      <c r="A3" s="160" t="s">
        <v>23</v>
      </c>
      <c r="B3" s="161"/>
      <c r="C3" s="161"/>
      <c r="D3" s="161"/>
      <c r="E3" s="161"/>
      <c r="F3" s="161"/>
      <c r="G3" s="161"/>
      <c r="H3" s="161"/>
      <c r="I3" s="161"/>
      <c r="J3" s="162"/>
      <c r="K3" s="85"/>
    </row>
    <row r="4" spans="1:19">
      <c r="A4" s="7">
        <v>1</v>
      </c>
      <c r="B4" s="4" t="s">
        <v>19</v>
      </c>
      <c r="C4" s="4">
        <v>2</v>
      </c>
      <c r="D4" s="73">
        <v>3</v>
      </c>
      <c r="E4" s="70">
        <v>5.2</v>
      </c>
      <c r="F4" s="4"/>
      <c r="G4" s="4"/>
      <c r="H4" s="4">
        <v>83.53</v>
      </c>
      <c r="I4" s="5">
        <f>D4*E4*H4*C4/1000</f>
        <v>2.6061360000000002</v>
      </c>
      <c r="J4" s="2" t="s">
        <v>76</v>
      </c>
      <c r="K4" s="83"/>
      <c r="S4" s="1">
        <v>1525</v>
      </c>
    </row>
    <row r="5" spans="1:19">
      <c r="A5" s="163"/>
      <c r="B5" s="164"/>
      <c r="C5" s="164"/>
      <c r="D5" s="164"/>
      <c r="E5" s="164"/>
      <c r="F5" s="164"/>
      <c r="G5" s="164"/>
      <c r="H5" s="164"/>
      <c r="I5" s="164"/>
      <c r="J5" s="165"/>
      <c r="K5" s="83"/>
    </row>
    <row r="6" spans="1:19">
      <c r="A6" s="7">
        <v>2</v>
      </c>
      <c r="B6" s="4" t="s">
        <v>18</v>
      </c>
      <c r="C6" s="4">
        <v>2</v>
      </c>
      <c r="D6" s="73">
        <f>2*(2+M11)</f>
        <v>50</v>
      </c>
      <c r="E6" s="70">
        <f>S4*0.001</f>
        <v>1.5250000000000001</v>
      </c>
      <c r="F6" s="4"/>
      <c r="G6" s="4"/>
      <c r="H6" s="4">
        <v>7.94</v>
      </c>
      <c r="I6" s="5">
        <f>D6*E6*H6*C6/1000</f>
        <v>1.2108500000000002</v>
      </c>
      <c r="J6" s="2" t="s">
        <v>76</v>
      </c>
      <c r="K6" s="83"/>
    </row>
    <row r="7" spans="1:19">
      <c r="A7" s="7">
        <v>3</v>
      </c>
      <c r="B7" s="4" t="s">
        <v>17</v>
      </c>
      <c r="C7" s="4">
        <v>2</v>
      </c>
      <c r="D7" s="73">
        <f>2*(12-2)*2</f>
        <v>40</v>
      </c>
      <c r="E7" s="71">
        <f>((1.525^2 +(N2*0.001)^2))^(1/2)</f>
        <v>3.1445389169161189</v>
      </c>
      <c r="F7" s="4"/>
      <c r="G7" s="4"/>
      <c r="H7" s="4">
        <v>7.94</v>
      </c>
      <c r="I7" s="5">
        <f t="shared" ref="I7:I11" si="0">D7*E7*H7*C7/1000</f>
        <v>1.9974111200251188</v>
      </c>
      <c r="J7" s="2" t="s">
        <v>76</v>
      </c>
      <c r="K7" s="83"/>
      <c r="L7" s="3">
        <f>1250</f>
        <v>1250</v>
      </c>
      <c r="N7" s="166">
        <f>N9-L7-Q7</f>
        <v>27500</v>
      </c>
      <c r="O7" s="166"/>
      <c r="Q7" s="1">
        <f>1250</f>
        <v>1250</v>
      </c>
    </row>
    <row r="8" spans="1:19">
      <c r="A8" s="7">
        <f>A7+1</f>
        <v>4</v>
      </c>
      <c r="B8" s="4" t="s">
        <v>9</v>
      </c>
      <c r="C8" s="4">
        <v>2</v>
      </c>
      <c r="D8" s="73">
        <f>2*2</f>
        <v>4</v>
      </c>
      <c r="E8" s="71">
        <f>((S4*0.001)^2 + ((L7*0.001)+0.375)^2)^(1/2)</f>
        <v>2.2285084698066555</v>
      </c>
      <c r="F8" s="4"/>
      <c r="G8" s="4"/>
      <c r="H8" s="4">
        <v>7.94</v>
      </c>
      <c r="I8" s="5">
        <f t="shared" si="0"/>
        <v>0.14155485800211878</v>
      </c>
      <c r="J8" s="2" t="s">
        <v>76</v>
      </c>
      <c r="K8" s="83"/>
    </row>
    <row r="9" spans="1:19">
      <c r="A9" s="7">
        <f>A8+1</f>
        <v>5</v>
      </c>
      <c r="B9" s="4" t="s">
        <v>10</v>
      </c>
      <c r="C9" s="4">
        <v>2</v>
      </c>
      <c r="D9" s="73">
        <f>2*(12-2)*2</f>
        <v>40</v>
      </c>
      <c r="E9" s="4">
        <f>N2/1000</f>
        <v>2.75</v>
      </c>
      <c r="F9" s="4"/>
      <c r="G9" s="4"/>
      <c r="H9" s="4">
        <v>7.94</v>
      </c>
      <c r="I9" s="5">
        <f t="shared" si="0"/>
        <v>1.7468000000000001</v>
      </c>
      <c r="J9" s="2" t="s">
        <v>76</v>
      </c>
      <c r="K9" s="83"/>
      <c r="N9" s="1">
        <v>30000</v>
      </c>
    </row>
    <row r="10" spans="1:19">
      <c r="A10" s="7">
        <f>A9+1</f>
        <v>6</v>
      </c>
      <c r="B10" s="4" t="s">
        <v>12</v>
      </c>
      <c r="C10" s="4">
        <v>2</v>
      </c>
      <c r="D10" s="73">
        <f>2*2</f>
        <v>4</v>
      </c>
      <c r="E10" s="4">
        <f>L7*0.001+0.375</f>
        <v>1.625</v>
      </c>
      <c r="F10" s="4"/>
      <c r="G10" s="4"/>
      <c r="H10" s="4">
        <v>7.94</v>
      </c>
      <c r="I10" s="5">
        <f t="shared" si="0"/>
        <v>0.10321999999999999</v>
      </c>
      <c r="J10" s="2" t="s">
        <v>76</v>
      </c>
      <c r="K10" s="83"/>
      <c r="L10" s="2" t="s">
        <v>38</v>
      </c>
      <c r="M10" s="2">
        <v>10</v>
      </c>
    </row>
    <row r="11" spans="1:19">
      <c r="A11" s="7">
        <v>9</v>
      </c>
      <c r="B11" s="4" t="s">
        <v>14</v>
      </c>
      <c r="C11" s="4">
        <v>2</v>
      </c>
      <c r="D11" s="74">
        <f>M11+2</f>
        <v>25</v>
      </c>
      <c r="E11" s="55">
        <v>0.5</v>
      </c>
      <c r="F11" s="4"/>
      <c r="G11" s="4"/>
      <c r="H11" s="4">
        <v>7.94</v>
      </c>
      <c r="I11" s="5">
        <f t="shared" si="0"/>
        <v>0.19850000000000001</v>
      </c>
      <c r="J11" s="2" t="s">
        <v>76</v>
      </c>
      <c r="K11" s="83"/>
      <c r="L11" s="2" t="s">
        <v>38</v>
      </c>
      <c r="M11" s="87">
        <f>((N9-1250-1250)/1250)+1</f>
        <v>23</v>
      </c>
    </row>
    <row r="12" spans="1:19">
      <c r="A12" s="163"/>
      <c r="B12" s="164"/>
      <c r="C12" s="164"/>
      <c r="D12" s="164"/>
      <c r="E12" s="164"/>
      <c r="F12" s="164"/>
      <c r="G12" s="164"/>
      <c r="H12" s="164"/>
      <c r="I12" s="164"/>
      <c r="J12" s="165"/>
      <c r="K12" s="83"/>
    </row>
    <row r="13" spans="1:19">
      <c r="A13" s="7">
        <f>A10+1</f>
        <v>7</v>
      </c>
      <c r="B13" s="4" t="s">
        <v>11</v>
      </c>
      <c r="C13" s="4">
        <v>2</v>
      </c>
      <c r="D13" s="73">
        <f>2*(12-2)*2</f>
        <v>40</v>
      </c>
      <c r="E13" s="55">
        <f>N2*0.001</f>
        <v>2.75</v>
      </c>
      <c r="F13" s="4"/>
      <c r="G13" s="4"/>
      <c r="H13" s="4">
        <v>11.45</v>
      </c>
      <c r="I13" s="62">
        <f>D13*E13*H13*C13/1000</f>
        <v>2.5190000000000001</v>
      </c>
      <c r="J13" s="2" t="s">
        <v>76</v>
      </c>
      <c r="K13" s="83"/>
    </row>
    <row r="14" spans="1:19">
      <c r="A14" s="7">
        <f>A13+1</f>
        <v>8</v>
      </c>
      <c r="B14" s="4" t="s">
        <v>13</v>
      </c>
      <c r="C14" s="4">
        <v>2</v>
      </c>
      <c r="D14" s="74">
        <f>2*2</f>
        <v>4</v>
      </c>
      <c r="E14" s="55">
        <f>L7*0.001+0.375</f>
        <v>1.625</v>
      </c>
      <c r="F14" s="4"/>
      <c r="G14" s="4"/>
      <c r="H14" s="4">
        <v>11.45</v>
      </c>
      <c r="I14" s="62">
        <f>D14*E14*H14*C14/1000</f>
        <v>0.14884999999999998</v>
      </c>
      <c r="J14" s="2" t="s">
        <v>76</v>
      </c>
      <c r="K14" s="83"/>
    </row>
    <row r="15" spans="1:19">
      <c r="A15" s="7">
        <f t="shared" ref="A15" si="1">A14+1</f>
        <v>9</v>
      </c>
      <c r="B15" s="4" t="s">
        <v>15</v>
      </c>
      <c r="C15" s="4">
        <v>2</v>
      </c>
      <c r="D15" s="74">
        <f>(M11+2)</f>
        <v>25</v>
      </c>
      <c r="E15" s="55">
        <v>0.5</v>
      </c>
      <c r="F15" s="4"/>
      <c r="G15" s="4"/>
      <c r="H15" s="4">
        <v>11.45</v>
      </c>
      <c r="I15" s="62">
        <f>D15*E15*H15*C15/1000</f>
        <v>0.28625</v>
      </c>
      <c r="J15" s="2" t="s">
        <v>76</v>
      </c>
      <c r="K15" s="83"/>
    </row>
    <row r="16" spans="1:19">
      <c r="A16" s="156"/>
      <c r="B16" s="157"/>
      <c r="C16" s="157"/>
      <c r="D16" s="157"/>
      <c r="E16" s="157"/>
      <c r="F16" s="157"/>
      <c r="G16" s="157"/>
      <c r="H16" s="157"/>
      <c r="I16" s="157"/>
      <c r="J16" s="158"/>
      <c r="K16" s="64"/>
    </row>
    <row r="17" spans="1:13">
      <c r="A17" s="63">
        <f>A15+1</f>
        <v>10</v>
      </c>
      <c r="B17" s="55" t="s">
        <v>16</v>
      </c>
      <c r="C17" s="55">
        <v>2</v>
      </c>
      <c r="D17" s="74">
        <v>2</v>
      </c>
      <c r="E17" s="55">
        <v>0.5</v>
      </c>
      <c r="F17" s="55"/>
      <c r="G17" s="55"/>
      <c r="H17" s="55">
        <v>19.57</v>
      </c>
      <c r="I17" s="62">
        <f>D17*E17*H17*C17/1000</f>
        <v>3.9140000000000001E-2</v>
      </c>
      <c r="J17" s="61" t="s">
        <v>76</v>
      </c>
      <c r="K17" s="83"/>
    </row>
    <row r="18" spans="1:13">
      <c r="A18" s="153" t="s">
        <v>26</v>
      </c>
      <c r="B18" s="167"/>
      <c r="C18" s="167"/>
      <c r="D18" s="167"/>
      <c r="E18" s="167"/>
      <c r="F18" s="167"/>
      <c r="G18" s="167"/>
      <c r="H18" s="167"/>
      <c r="I18" s="167"/>
      <c r="J18" s="168"/>
      <c r="K18" s="83"/>
    </row>
    <row r="19" spans="1:13">
      <c r="A19" s="7">
        <f>A17+1</f>
        <v>11</v>
      </c>
      <c r="B19" s="4" t="s">
        <v>20</v>
      </c>
      <c r="C19" s="4">
        <v>2</v>
      </c>
      <c r="D19" s="73">
        <f>3*3</f>
        <v>9</v>
      </c>
      <c r="E19" s="10">
        <v>0.75</v>
      </c>
      <c r="F19" s="10">
        <v>0.75</v>
      </c>
      <c r="G19" s="10"/>
      <c r="H19" s="10">
        <v>4.4999999999999998E-2</v>
      </c>
      <c r="I19" s="57">
        <f>D19*E19*F19*H19*7.85*C19</f>
        <v>3.5766562499999996</v>
      </c>
      <c r="J19" s="2" t="s">
        <v>76</v>
      </c>
      <c r="K19" s="83"/>
    </row>
    <row r="20" spans="1:13">
      <c r="A20" s="7">
        <f>A19+1</f>
        <v>12</v>
      </c>
      <c r="B20" s="4" t="s">
        <v>98</v>
      </c>
      <c r="C20" s="4">
        <v>2</v>
      </c>
      <c r="D20" s="73">
        <f>(8*3)*2</f>
        <v>48</v>
      </c>
      <c r="E20" s="10">
        <v>0.2</v>
      </c>
      <c r="F20" s="10">
        <v>7.0000000000000007E-2</v>
      </c>
      <c r="G20" s="10"/>
      <c r="H20" s="10">
        <v>1.2E-2</v>
      </c>
      <c r="I20" s="54">
        <f>((0.075*0.07)+(0.5*0.03*0.125)+(0.045*0.125))*H20*D20*7.85*C20</f>
        <v>0.11530079999999999</v>
      </c>
      <c r="J20" s="2" t="s">
        <v>76</v>
      </c>
      <c r="K20" s="83"/>
    </row>
    <row r="21" spans="1:13">
      <c r="A21" s="7">
        <f>A20+1</f>
        <v>13</v>
      </c>
      <c r="B21" s="4" t="s">
        <v>99</v>
      </c>
      <c r="C21" s="4">
        <v>2</v>
      </c>
      <c r="D21" s="73">
        <f>12*3</f>
        <v>36</v>
      </c>
      <c r="E21" s="4"/>
      <c r="F21" s="4"/>
      <c r="G21" s="4"/>
      <c r="H21" s="4"/>
      <c r="I21" s="10">
        <f>PI()*0.024^2*1.1*D21*7.85*C21</f>
        <v>1.1250380071237513</v>
      </c>
      <c r="J21" s="2" t="s">
        <v>76</v>
      </c>
      <c r="K21" s="83"/>
    </row>
    <row r="22" spans="1:13">
      <c r="A22" s="7">
        <f>A21+1</f>
        <v>14</v>
      </c>
      <c r="B22" s="4" t="s">
        <v>100</v>
      </c>
      <c r="C22" s="4">
        <v>2</v>
      </c>
      <c r="D22" s="73">
        <f>12*3</f>
        <v>36</v>
      </c>
      <c r="E22" s="4"/>
      <c r="F22" s="4"/>
      <c r="G22" s="4"/>
      <c r="H22" s="4"/>
      <c r="I22" s="10">
        <f>PI()*0.024^2*(0.045+0.045+0.06)*D22*7.85*C22</f>
        <v>0.15341427369869334</v>
      </c>
      <c r="J22" s="2" t="s">
        <v>76</v>
      </c>
      <c r="K22" s="83"/>
    </row>
    <row r="23" spans="1:13">
      <c r="A23" s="59"/>
      <c r="B23" s="169" t="s">
        <v>85</v>
      </c>
      <c r="C23" s="169"/>
      <c r="D23" s="169"/>
      <c r="E23" s="169"/>
      <c r="F23" s="169"/>
      <c r="G23" s="169"/>
      <c r="H23" s="169"/>
      <c r="I23" s="58">
        <f>SUM(I4:I22)</f>
        <v>15.968121308849682</v>
      </c>
      <c r="J23" s="60"/>
      <c r="K23" s="86"/>
    </row>
    <row r="24" spans="1:13">
      <c r="A24" s="153" t="s">
        <v>26</v>
      </c>
      <c r="B24" s="167"/>
      <c r="C24" s="167"/>
      <c r="D24" s="167"/>
      <c r="E24" s="167"/>
      <c r="F24" s="167"/>
      <c r="G24" s="167"/>
      <c r="H24" s="167"/>
      <c r="I24" s="167"/>
      <c r="J24" s="168"/>
      <c r="K24" s="83"/>
    </row>
    <row r="25" spans="1:13">
      <c r="A25" s="7">
        <f>A21+1</f>
        <v>14</v>
      </c>
      <c r="B25" s="4" t="s">
        <v>87</v>
      </c>
      <c r="C25" s="4">
        <v>2</v>
      </c>
      <c r="D25" s="2">
        <v>1</v>
      </c>
      <c r="E25" s="10">
        <v>30</v>
      </c>
      <c r="F25" s="10"/>
      <c r="G25" s="10">
        <v>1.7</v>
      </c>
      <c r="H25" s="10"/>
      <c r="I25" s="57">
        <f>G25*E25*C25</f>
        <v>102</v>
      </c>
      <c r="J25" s="2" t="s">
        <v>86</v>
      </c>
      <c r="K25" s="83"/>
    </row>
    <row r="26" spans="1:13" ht="18" customHeight="1">
      <c r="A26" s="153" t="s">
        <v>24</v>
      </c>
      <c r="B26" s="154"/>
      <c r="C26" s="154"/>
      <c r="D26" s="154"/>
      <c r="E26" s="154"/>
      <c r="F26" s="154"/>
      <c r="G26" s="154"/>
      <c r="H26" s="154"/>
      <c r="I26" s="154"/>
      <c r="J26" s="155"/>
      <c r="K26" s="85"/>
    </row>
    <row r="27" spans="1:13">
      <c r="A27" s="7">
        <f>A25+1</f>
        <v>15</v>
      </c>
      <c r="B27" s="4" t="s">
        <v>79</v>
      </c>
      <c r="C27" s="4">
        <v>2</v>
      </c>
      <c r="D27" s="2">
        <v>3</v>
      </c>
      <c r="E27" s="4">
        <v>3.5</v>
      </c>
      <c r="F27" s="4">
        <v>3.7</v>
      </c>
      <c r="G27" s="4">
        <v>2.15</v>
      </c>
      <c r="H27" s="10"/>
      <c r="I27" s="4">
        <f>E27*F27*G27*D27*C27</f>
        <v>167.05500000000001</v>
      </c>
      <c r="J27" s="2" t="s">
        <v>8</v>
      </c>
      <c r="K27" s="83"/>
    </row>
    <row r="28" spans="1:13">
      <c r="A28" s="7">
        <f>A27+1</f>
        <v>16</v>
      </c>
      <c r="B28" s="4" t="s">
        <v>21</v>
      </c>
      <c r="C28" s="4">
        <v>2</v>
      </c>
      <c r="D28" s="2">
        <v>3</v>
      </c>
      <c r="E28" s="10">
        <v>0.9</v>
      </c>
      <c r="F28" s="10">
        <v>0.9</v>
      </c>
      <c r="G28" s="10">
        <v>2.2999999999999998</v>
      </c>
      <c r="H28" s="10"/>
      <c r="I28" s="4">
        <f>PRODUCT(D28:G28)*C28</f>
        <v>11.177999999999999</v>
      </c>
      <c r="J28" s="2" t="s">
        <v>8</v>
      </c>
      <c r="K28" s="83"/>
    </row>
    <row r="29" spans="1:13">
      <c r="A29" s="7">
        <f t="shared" ref="A29:A31" si="2">A28+1</f>
        <v>17</v>
      </c>
      <c r="B29" s="4" t="s">
        <v>77</v>
      </c>
      <c r="C29" s="4">
        <v>2</v>
      </c>
      <c r="D29" s="2">
        <v>3</v>
      </c>
      <c r="E29" s="10">
        <v>3.5</v>
      </c>
      <c r="F29" s="10">
        <v>3.2</v>
      </c>
      <c r="G29" s="10">
        <v>0.2</v>
      </c>
      <c r="H29" s="10"/>
      <c r="I29" s="4">
        <f>PRODUCT(D29:G29)*C29</f>
        <v>13.440000000000001</v>
      </c>
      <c r="J29" s="2" t="s">
        <v>8</v>
      </c>
      <c r="K29" s="83"/>
      <c r="M29" s="54">
        <f>I28+I29+I30</f>
        <v>34.033709903588758</v>
      </c>
    </row>
    <row r="30" spans="1:13">
      <c r="A30" s="7">
        <f t="shared" si="2"/>
        <v>18</v>
      </c>
      <c r="B30" s="4" t="s">
        <v>78</v>
      </c>
      <c r="C30" s="4">
        <v>2</v>
      </c>
      <c r="D30" s="2">
        <v>3</v>
      </c>
      <c r="E30" s="10">
        <f>1/3*0.3</f>
        <v>9.9999999999999992E-2</v>
      </c>
      <c r="F30" s="10">
        <f>(3.5*3.2)+(1*1)+SQRT(3.5*3.2+1*1)</f>
        <v>15.692849839314597</v>
      </c>
      <c r="G30" s="10"/>
      <c r="H30" s="10"/>
      <c r="I30" s="10">
        <f>PRODUCT(D30:G30)*C30</f>
        <v>9.4157099035887573</v>
      </c>
      <c r="J30" s="2" t="s">
        <v>8</v>
      </c>
      <c r="K30" s="83"/>
      <c r="M30" s="1">
        <f>M29/3</f>
        <v>11.344569967862919</v>
      </c>
    </row>
    <row r="31" spans="1:13">
      <c r="A31" s="7">
        <f t="shared" si="2"/>
        <v>19</v>
      </c>
      <c r="B31" s="4" t="s">
        <v>22</v>
      </c>
      <c r="C31" s="4">
        <v>2</v>
      </c>
      <c r="D31" s="2">
        <v>3</v>
      </c>
      <c r="E31" s="10">
        <f>3.5+0.2</f>
        <v>3.7</v>
      </c>
      <c r="F31" s="10">
        <f>3.2+0.2</f>
        <v>3.4000000000000004</v>
      </c>
      <c r="G31" s="10">
        <v>0.15</v>
      </c>
      <c r="H31" s="10"/>
      <c r="I31" s="4">
        <f>D31*E31*F31*G31*C31</f>
        <v>11.322000000000003</v>
      </c>
      <c r="J31" s="2" t="s">
        <v>8</v>
      </c>
      <c r="K31" s="83"/>
    </row>
    <row r="32" spans="1:13" ht="17" customHeight="1">
      <c r="A32" s="153" t="s">
        <v>25</v>
      </c>
      <c r="B32" s="167"/>
      <c r="C32" s="167"/>
      <c r="D32" s="167"/>
      <c r="E32" s="167"/>
      <c r="F32" s="167"/>
      <c r="G32" s="167"/>
      <c r="H32" s="167"/>
      <c r="I32" s="167"/>
      <c r="J32" s="168"/>
      <c r="K32" s="83"/>
    </row>
    <row r="33" spans="1:12">
      <c r="A33" s="77">
        <f>A31+1</f>
        <v>20</v>
      </c>
      <c r="B33" s="78" t="s">
        <v>70</v>
      </c>
      <c r="C33" s="78">
        <v>2</v>
      </c>
      <c r="D33" s="79">
        <v>3</v>
      </c>
      <c r="E33" s="78"/>
      <c r="F33" s="78"/>
      <c r="G33" s="78"/>
      <c r="H33" s="78"/>
      <c r="I33" s="80">
        <f>(BBS!N61*C33*D33)</f>
        <v>2.2560753623711394</v>
      </c>
      <c r="J33" s="81" t="s">
        <v>76</v>
      </c>
      <c r="K33" s="85"/>
      <c r="L33" s="1">
        <f>I33*10%</f>
        <v>0.22560753623711394</v>
      </c>
    </row>
    <row r="34" spans="1:12">
      <c r="A34" s="153" t="s">
        <v>102</v>
      </c>
      <c r="B34" s="154"/>
      <c r="C34" s="154"/>
      <c r="D34" s="154"/>
      <c r="E34" s="154"/>
      <c r="F34" s="154"/>
      <c r="G34" s="154"/>
      <c r="H34" s="154"/>
      <c r="I34" s="154"/>
      <c r="J34" s="155"/>
      <c r="K34" s="64"/>
    </row>
    <row r="35" spans="1:12">
      <c r="A35" s="7">
        <v>21</v>
      </c>
      <c r="B35" s="4" t="s">
        <v>102</v>
      </c>
      <c r="C35" s="4">
        <v>2</v>
      </c>
      <c r="D35" s="2">
        <v>3</v>
      </c>
      <c r="E35" s="75">
        <v>0.75</v>
      </c>
      <c r="F35" s="75">
        <v>0.75</v>
      </c>
      <c r="G35" s="76">
        <v>0.04</v>
      </c>
      <c r="H35" s="76">
        <v>2.2000000000000002</v>
      </c>
      <c r="I35" s="76">
        <f>H35*G35*F35*E35*1000*D35*C35</f>
        <v>297</v>
      </c>
      <c r="J35" s="2" t="s">
        <v>101</v>
      </c>
      <c r="K35" s="83"/>
    </row>
    <row r="36" spans="1:12" ht="18" customHeight="1">
      <c r="E36" s="65" t="s">
        <v>88</v>
      </c>
      <c r="F36" s="190" t="s">
        <v>97</v>
      </c>
      <c r="G36" s="190"/>
      <c r="H36" s="65">
        <v>1</v>
      </c>
    </row>
    <row r="37" spans="1:12">
      <c r="E37" s="66" t="s">
        <v>89</v>
      </c>
      <c r="F37" s="3" t="s">
        <v>84</v>
      </c>
      <c r="G37" s="3"/>
      <c r="H37" s="67">
        <f>I27*H36*1.15</f>
        <v>192.11324999999999</v>
      </c>
      <c r="I37" s="56"/>
      <c r="J37" s="68"/>
      <c r="K37" s="68"/>
    </row>
    <row r="38" spans="1:12">
      <c r="E38" s="66" t="s">
        <v>90</v>
      </c>
      <c r="F38" s="3" t="s">
        <v>84</v>
      </c>
      <c r="G38" s="3"/>
      <c r="H38" s="67">
        <f>I31*H36*1.15</f>
        <v>13.020300000000002</v>
      </c>
      <c r="J38" s="68"/>
      <c r="K38" s="68"/>
    </row>
    <row r="39" spans="1:12">
      <c r="E39" s="66" t="s">
        <v>91</v>
      </c>
      <c r="F39" s="3" t="s">
        <v>84</v>
      </c>
      <c r="G39" s="3"/>
      <c r="H39" s="67">
        <f>(I28+I29+I30)*H36*1.15</f>
        <v>39.138766389127071</v>
      </c>
      <c r="J39" s="68"/>
      <c r="K39" s="68"/>
    </row>
    <row r="40" spans="1:12">
      <c r="E40" s="66" t="s">
        <v>92</v>
      </c>
      <c r="F40" s="3" t="s">
        <v>76</v>
      </c>
      <c r="G40" s="3"/>
      <c r="H40" s="67">
        <f>I33*H36*1.15</f>
        <v>2.5944866667268101</v>
      </c>
      <c r="J40" s="88">
        <f>H40/H39</f>
        <v>6.6289433880766621E-2</v>
      </c>
      <c r="K40" s="68"/>
    </row>
    <row r="41" spans="1:12">
      <c r="E41" s="66" t="s">
        <v>93</v>
      </c>
      <c r="F41" s="3" t="s">
        <v>76</v>
      </c>
      <c r="G41" s="3"/>
      <c r="H41" s="67">
        <f>I23*H36*1.15</f>
        <v>18.363339505177134</v>
      </c>
      <c r="J41" s="68"/>
      <c r="K41" s="68"/>
    </row>
    <row r="42" spans="1:12">
      <c r="E42" s="66" t="s">
        <v>94</v>
      </c>
      <c r="F42" s="3" t="s">
        <v>86</v>
      </c>
      <c r="G42" s="3"/>
      <c r="H42" s="56">
        <f>I25*H36*1.15</f>
        <v>117.3</v>
      </c>
      <c r="J42" s="68"/>
      <c r="K42" s="68"/>
    </row>
    <row r="43" spans="1:12">
      <c r="E43" s="66" t="s">
        <v>102</v>
      </c>
      <c r="F43" s="3" t="s">
        <v>101</v>
      </c>
      <c r="G43" s="3"/>
      <c r="H43" s="56">
        <f>I35*H36*1.15</f>
        <v>341.54999999999995</v>
      </c>
      <c r="J43" s="68"/>
      <c r="K43" s="68"/>
    </row>
    <row r="44" spans="1:12" ht="21.5">
      <c r="B44" s="82"/>
      <c r="D44" s="1"/>
    </row>
    <row r="45" spans="1:12">
      <c r="B45" s="84"/>
      <c r="C45" s="8"/>
      <c r="D45" s="8"/>
      <c r="E45" s="8">
        <f>E50/D53</f>
        <v>2750</v>
      </c>
      <c r="F45" s="8"/>
      <c r="G45" s="8"/>
      <c r="H45" s="8"/>
      <c r="I45" s="8"/>
      <c r="J45" s="8"/>
      <c r="K45" s="8"/>
    </row>
    <row r="46" spans="1:12">
      <c r="B46" s="85"/>
      <c r="C46" s="3"/>
      <c r="E46" s="3"/>
      <c r="F46" s="3"/>
      <c r="G46" s="3"/>
      <c r="H46" s="3"/>
      <c r="I46" s="3"/>
      <c r="J46" s="3"/>
      <c r="K46" s="3"/>
    </row>
    <row r="47" spans="1:12">
      <c r="B47" s="83"/>
      <c r="D47" s="1"/>
      <c r="J47" s="1">
        <v>1525</v>
      </c>
    </row>
    <row r="48" spans="1:12">
      <c r="B48" s="83"/>
      <c r="D48" s="1"/>
    </row>
    <row r="49" spans="2:8">
      <c r="B49" s="83"/>
      <c r="D49" s="1"/>
    </row>
    <row r="50" spans="2:8">
      <c r="B50" s="83"/>
      <c r="C50" s="3">
        <f>1250</f>
        <v>1250</v>
      </c>
      <c r="D50" s="1"/>
      <c r="E50" s="166">
        <f>E52-C50-H50</f>
        <v>27500</v>
      </c>
      <c r="F50" s="166"/>
      <c r="H50" s="1">
        <f>1250</f>
        <v>1250</v>
      </c>
    </row>
    <row r="51" spans="2:8">
      <c r="B51" s="83"/>
      <c r="D51" s="1"/>
    </row>
    <row r="52" spans="2:8">
      <c r="B52" s="83"/>
      <c r="D52" s="1"/>
      <c r="E52" s="1">
        <v>30000</v>
      </c>
    </row>
    <row r="53" spans="2:8">
      <c r="B53" s="83"/>
      <c r="C53" s="2" t="s">
        <v>38</v>
      </c>
      <c r="D53" s="2">
        <v>10</v>
      </c>
    </row>
    <row r="54" spans="2:8">
      <c r="B54" s="83"/>
      <c r="C54" s="2" t="s">
        <v>38</v>
      </c>
      <c r="D54" s="87">
        <f>((E52-1250-1250)/1250)+1</f>
        <v>23</v>
      </c>
    </row>
    <row r="55" spans="2:8">
      <c r="B55" s="83"/>
      <c r="D55" s="1"/>
    </row>
    <row r="56" spans="2:8">
      <c r="B56" s="83"/>
      <c r="D56" s="1"/>
    </row>
    <row r="57" spans="2:8">
      <c r="B57" s="83"/>
      <c r="D57" s="1"/>
    </row>
    <row r="58" spans="2:8">
      <c r="B58" s="83"/>
      <c r="D58" s="1"/>
    </row>
    <row r="59" spans="2:8">
      <c r="B59" s="64"/>
      <c r="D59" s="1"/>
    </row>
  </sheetData>
  <mergeCells count="14">
    <mergeCell ref="F36:G36"/>
    <mergeCell ref="E50:F50"/>
    <mergeCell ref="N7:O7"/>
    <mergeCell ref="A12:J12"/>
    <mergeCell ref="A26:J26"/>
    <mergeCell ref="A32:J32"/>
    <mergeCell ref="B23:H23"/>
    <mergeCell ref="A24:J24"/>
    <mergeCell ref="A18:J18"/>
    <mergeCell ref="A34:J34"/>
    <mergeCell ref="A16:J16"/>
    <mergeCell ref="A1:J1"/>
    <mergeCell ref="A3:J3"/>
    <mergeCell ref="A5:J5"/>
  </mergeCells>
  <pageMargins left="0.25" right="0.25" top="0.75" bottom="0.75" header="0.3" footer="0.3"/>
  <pageSetup paperSize="9" scale="71" fitToHeight="0" orientation="portrait" r:id="rId1"/>
  <ignoredErrors>
    <ignoredError sqref="D8"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F2527-2F4A-4DD4-B716-4AE9C7C4DD8A}">
  <sheetPr>
    <pageSetUpPr fitToPage="1"/>
  </sheetPr>
  <dimension ref="A1:S56"/>
  <sheetViews>
    <sheetView zoomScale="85" zoomScaleNormal="88" workbookViewId="0">
      <pane ySplit="2" topLeftCell="A3" activePane="bottomLeft" state="frozen"/>
      <selection activeCell="J35" sqref="J35"/>
      <selection pane="bottomLeft" activeCell="J57" sqref="A1:J57"/>
    </sheetView>
  </sheetViews>
  <sheetFormatPr defaultColWidth="7.08984375" defaultRowHeight="17"/>
  <cols>
    <col min="1" max="1" width="4.453125" style="8" bestFit="1" customWidth="1"/>
    <col min="2" max="2" width="51.7265625" style="1" bestFit="1" customWidth="1"/>
    <col min="3" max="3" width="12.08984375" style="1" bestFit="1" customWidth="1"/>
    <col min="4" max="4" width="4.81640625" style="3" bestFit="1" customWidth="1"/>
    <col min="5" max="5" width="18.453125" style="1" bestFit="1" customWidth="1"/>
    <col min="6" max="6" width="11.453125" style="1" bestFit="1" customWidth="1"/>
    <col min="7" max="7" width="28.6328125" style="1" bestFit="1" customWidth="1"/>
    <col min="8" max="8" width="10.26953125" style="1" bestFit="1" customWidth="1"/>
    <col min="9" max="9" width="7.90625" style="1" bestFit="1" customWidth="1"/>
    <col min="10" max="10" width="6.26953125" style="1" bestFit="1" customWidth="1"/>
    <col min="11" max="11" width="7.08984375" style="1"/>
    <col min="12" max="13" width="12.7265625" style="1" bestFit="1" customWidth="1"/>
    <col min="14" max="14" width="6.26953125" style="1" bestFit="1" customWidth="1"/>
    <col min="15" max="16" width="7.08984375" style="1"/>
    <col min="17" max="17" width="5.1796875" style="1" bestFit="1" customWidth="1"/>
    <col min="18" max="18" width="7.08984375" style="1"/>
    <col min="19" max="19" width="5.1796875" style="1" bestFit="1" customWidth="1"/>
    <col min="20" max="16384" width="7.08984375" style="1"/>
  </cols>
  <sheetData>
    <row r="1" spans="1:19" ht="21.5">
      <c r="A1" s="159" t="s">
        <v>106</v>
      </c>
      <c r="B1" s="159"/>
      <c r="C1" s="159"/>
      <c r="D1" s="159"/>
      <c r="E1" s="159"/>
      <c r="F1" s="159"/>
      <c r="G1" s="159"/>
      <c r="H1" s="159"/>
      <c r="I1" s="159"/>
      <c r="J1" s="159"/>
      <c r="K1" s="82"/>
    </row>
    <row r="2" spans="1:19" s="8" customFormat="1">
      <c r="A2" s="6" t="s">
        <v>0</v>
      </c>
      <c r="B2" s="6" t="s">
        <v>1</v>
      </c>
      <c r="C2" s="6" t="s">
        <v>96</v>
      </c>
      <c r="D2" s="6" t="s">
        <v>2</v>
      </c>
      <c r="E2" s="6" t="s">
        <v>4</v>
      </c>
      <c r="F2" s="6" t="s">
        <v>5</v>
      </c>
      <c r="G2" s="6" t="s">
        <v>6</v>
      </c>
      <c r="H2" s="6" t="s">
        <v>95</v>
      </c>
      <c r="I2" s="6" t="s">
        <v>7</v>
      </c>
      <c r="J2" s="9" t="s">
        <v>3</v>
      </c>
      <c r="K2" s="84"/>
      <c r="N2" s="8">
        <f>N7/M10</f>
        <v>1250</v>
      </c>
    </row>
    <row r="3" spans="1:19" s="3" customFormat="1">
      <c r="A3" s="160" t="s">
        <v>23</v>
      </c>
      <c r="B3" s="161"/>
      <c r="C3" s="161"/>
      <c r="D3" s="161"/>
      <c r="E3" s="161"/>
      <c r="F3" s="161"/>
      <c r="G3" s="161"/>
      <c r="H3" s="161"/>
      <c r="I3" s="161"/>
      <c r="J3" s="162"/>
      <c r="K3" s="85"/>
    </row>
    <row r="4" spans="1:19">
      <c r="A4" s="7">
        <v>1</v>
      </c>
      <c r="B4" s="4" t="s">
        <v>19</v>
      </c>
      <c r="C4" s="4">
        <v>2</v>
      </c>
      <c r="D4" s="99">
        <v>2</v>
      </c>
      <c r="E4" s="70">
        <v>5.2</v>
      </c>
      <c r="F4" s="4"/>
      <c r="G4" s="4"/>
      <c r="H4" s="4">
        <v>83.53</v>
      </c>
      <c r="I4" s="5">
        <f>D4*E4*H4*C4/1000</f>
        <v>1.7374240000000001</v>
      </c>
      <c r="J4" s="2" t="s">
        <v>76</v>
      </c>
      <c r="K4" s="83"/>
      <c r="S4" s="1">
        <v>1525</v>
      </c>
    </row>
    <row r="5" spans="1:19">
      <c r="A5" s="163"/>
      <c r="B5" s="164"/>
      <c r="C5" s="164"/>
      <c r="D5" s="164"/>
      <c r="E5" s="164"/>
      <c r="F5" s="164"/>
      <c r="G5" s="164"/>
      <c r="H5" s="164"/>
      <c r="I5" s="164"/>
      <c r="J5" s="165"/>
      <c r="K5" s="83"/>
    </row>
    <row r="6" spans="1:19">
      <c r="A6" s="7">
        <v>2</v>
      </c>
      <c r="B6" s="4" t="s">
        <v>18</v>
      </c>
      <c r="C6" s="4">
        <v>2</v>
      </c>
      <c r="D6" s="99">
        <f>2*(2+M11)</f>
        <v>26</v>
      </c>
      <c r="E6" s="70">
        <f>S4*0.001</f>
        <v>1.5250000000000001</v>
      </c>
      <c r="F6" s="4"/>
      <c r="G6" s="4"/>
      <c r="H6" s="4">
        <v>7.94</v>
      </c>
      <c r="I6" s="5">
        <f>D6*E6*H6*C6/1000</f>
        <v>0.62964200000000015</v>
      </c>
      <c r="J6" s="2" t="s">
        <v>76</v>
      </c>
      <c r="K6" s="83"/>
    </row>
    <row r="7" spans="1:19">
      <c r="A7" s="7">
        <v>3</v>
      </c>
      <c r="B7" s="4" t="s">
        <v>17</v>
      </c>
      <c r="C7" s="4">
        <v>2</v>
      </c>
      <c r="D7" s="2">
        <f>2*(M11-1)</f>
        <v>20</v>
      </c>
      <c r="E7" s="71">
        <f>((1.525^2 +(N2*0.001)^2))^(1/2)</f>
        <v>1.9718329036710995</v>
      </c>
      <c r="F7" s="4"/>
      <c r="G7" s="4"/>
      <c r="H7" s="4">
        <v>7.94</v>
      </c>
      <c r="I7" s="5">
        <f t="shared" ref="I7:I11" si="0">D7*E7*H7*C7/1000</f>
        <v>0.62625413020594123</v>
      </c>
      <c r="J7" s="2" t="s">
        <v>76</v>
      </c>
      <c r="K7" s="83"/>
      <c r="L7" s="3">
        <f>1250</f>
        <v>1250</v>
      </c>
      <c r="N7" s="166">
        <f>N9-L7-Q7</f>
        <v>12500</v>
      </c>
      <c r="O7" s="166"/>
      <c r="Q7" s="1">
        <f>1250</f>
        <v>1250</v>
      </c>
    </row>
    <row r="8" spans="1:19">
      <c r="A8" s="7">
        <f>A7+1</f>
        <v>4</v>
      </c>
      <c r="B8" s="4" t="s">
        <v>9</v>
      </c>
      <c r="C8" s="4">
        <v>2</v>
      </c>
      <c r="D8" s="99">
        <f>2*2</f>
        <v>4</v>
      </c>
      <c r="E8" s="71">
        <f>((S4*0.001)^2 + ((L7*0.001)+0.375)^2)^(1/2)</f>
        <v>2.2285084698066555</v>
      </c>
      <c r="F8" s="4"/>
      <c r="G8" s="4"/>
      <c r="H8" s="4">
        <v>7.94</v>
      </c>
      <c r="I8" s="5">
        <f t="shared" si="0"/>
        <v>0.14155485800211878</v>
      </c>
      <c r="J8" s="2" t="s">
        <v>76</v>
      </c>
      <c r="K8" s="83"/>
    </row>
    <row r="9" spans="1:19">
      <c r="A9" s="7">
        <f>A8+1</f>
        <v>5</v>
      </c>
      <c r="B9" s="4" t="s">
        <v>10</v>
      </c>
      <c r="C9" s="4">
        <v>2</v>
      </c>
      <c r="D9" s="99">
        <f>2*(M11-1)</f>
        <v>20</v>
      </c>
      <c r="E9" s="4">
        <f>N2/1000</f>
        <v>1.25</v>
      </c>
      <c r="F9" s="4"/>
      <c r="G9" s="4"/>
      <c r="H9" s="4">
        <v>7.94</v>
      </c>
      <c r="I9" s="5">
        <f t="shared" si="0"/>
        <v>0.39700000000000002</v>
      </c>
      <c r="J9" s="2" t="s">
        <v>76</v>
      </c>
      <c r="K9" s="83"/>
      <c r="N9" s="1">
        <v>15000</v>
      </c>
    </row>
    <row r="10" spans="1:19">
      <c r="A10" s="7">
        <f>A9+1</f>
        <v>6</v>
      </c>
      <c r="B10" s="4" t="s">
        <v>12</v>
      </c>
      <c r="C10" s="4">
        <v>2</v>
      </c>
      <c r="D10" s="99">
        <f>2*2</f>
        <v>4</v>
      </c>
      <c r="E10" s="4">
        <f>L7*0.001+0.375</f>
        <v>1.625</v>
      </c>
      <c r="F10" s="4"/>
      <c r="G10" s="4"/>
      <c r="H10" s="4">
        <v>7.94</v>
      </c>
      <c r="I10" s="5">
        <f t="shared" si="0"/>
        <v>0.10321999999999999</v>
      </c>
      <c r="J10" s="2" t="s">
        <v>76</v>
      </c>
      <c r="K10" s="83"/>
      <c r="L10" s="2" t="s">
        <v>38</v>
      </c>
      <c r="M10" s="2">
        <v>10</v>
      </c>
    </row>
    <row r="11" spans="1:19">
      <c r="A11" s="7">
        <v>9</v>
      </c>
      <c r="B11" s="4" t="s">
        <v>14</v>
      </c>
      <c r="C11" s="4">
        <v>2</v>
      </c>
      <c r="D11" s="100">
        <f>M11+2</f>
        <v>13</v>
      </c>
      <c r="E11" s="55">
        <v>0.5</v>
      </c>
      <c r="F11" s="4"/>
      <c r="G11" s="4"/>
      <c r="H11" s="4">
        <v>7.94</v>
      </c>
      <c r="I11" s="5">
        <f t="shared" si="0"/>
        <v>0.10321999999999999</v>
      </c>
      <c r="J11" s="2" t="s">
        <v>76</v>
      </c>
      <c r="K11" s="83"/>
      <c r="L11" s="2" t="s">
        <v>38</v>
      </c>
      <c r="M11" s="87">
        <f>((N9-1250-1250)/1250)+1</f>
        <v>11</v>
      </c>
    </row>
    <row r="12" spans="1:19">
      <c r="A12" s="163"/>
      <c r="B12" s="164"/>
      <c r="C12" s="164"/>
      <c r="D12" s="164"/>
      <c r="E12" s="164"/>
      <c r="F12" s="164"/>
      <c r="G12" s="164"/>
      <c r="H12" s="164"/>
      <c r="I12" s="164"/>
      <c r="J12" s="165"/>
      <c r="K12" s="83"/>
    </row>
    <row r="13" spans="1:19">
      <c r="A13" s="7">
        <f>A10+1</f>
        <v>7</v>
      </c>
      <c r="B13" s="4" t="s">
        <v>11</v>
      </c>
      <c r="C13" s="4">
        <v>2</v>
      </c>
      <c r="D13" s="61">
        <f>2*(M11-1)</f>
        <v>20</v>
      </c>
      <c r="E13" s="55">
        <f>N2*0.001</f>
        <v>1.25</v>
      </c>
      <c r="F13" s="4"/>
      <c r="G13" s="4"/>
      <c r="H13" s="4">
        <v>11.45</v>
      </c>
      <c r="I13" s="62">
        <f>D13*E13*H13*C13/1000</f>
        <v>0.57250000000000001</v>
      </c>
      <c r="J13" s="2" t="s">
        <v>76</v>
      </c>
      <c r="K13" s="83"/>
    </row>
    <row r="14" spans="1:19">
      <c r="A14" s="7">
        <f>A13+1</f>
        <v>8</v>
      </c>
      <c r="B14" s="4" t="s">
        <v>13</v>
      </c>
      <c r="C14" s="4">
        <v>2</v>
      </c>
      <c r="D14" s="100">
        <f>2*2</f>
        <v>4</v>
      </c>
      <c r="E14" s="55">
        <f>L7*0.001+0.375</f>
        <v>1.625</v>
      </c>
      <c r="F14" s="4"/>
      <c r="G14" s="4"/>
      <c r="H14" s="4">
        <v>11.45</v>
      </c>
      <c r="I14" s="62">
        <f>D14*E14*H14*C14/1000</f>
        <v>0.14884999999999998</v>
      </c>
      <c r="J14" s="2" t="s">
        <v>76</v>
      </c>
      <c r="K14" s="83"/>
    </row>
    <row r="15" spans="1:19">
      <c r="A15" s="7">
        <f t="shared" ref="A15" si="1">A14+1</f>
        <v>9</v>
      </c>
      <c r="B15" s="4" t="s">
        <v>15</v>
      </c>
      <c r="C15" s="4">
        <v>2</v>
      </c>
      <c r="D15" s="100">
        <f>(M11+2)</f>
        <v>13</v>
      </c>
      <c r="E15" s="55">
        <v>0.5</v>
      </c>
      <c r="F15" s="4"/>
      <c r="G15" s="4"/>
      <c r="H15" s="4">
        <v>11.45</v>
      </c>
      <c r="I15" s="62">
        <f>D15*E15*H15*C15/1000</f>
        <v>0.14884999999999998</v>
      </c>
      <c r="J15" s="2" t="s">
        <v>76</v>
      </c>
      <c r="K15" s="83"/>
    </row>
    <row r="16" spans="1:19">
      <c r="A16" s="156"/>
      <c r="B16" s="157"/>
      <c r="C16" s="157"/>
      <c r="D16" s="157"/>
      <c r="E16" s="157"/>
      <c r="F16" s="157"/>
      <c r="G16" s="157"/>
      <c r="H16" s="157"/>
      <c r="I16" s="157"/>
      <c r="J16" s="158"/>
      <c r="K16" s="64"/>
    </row>
    <row r="17" spans="1:13">
      <c r="A17" s="63">
        <f>A15+1</f>
        <v>10</v>
      </c>
      <c r="B17" s="55" t="s">
        <v>16</v>
      </c>
      <c r="C17" s="55">
        <v>2</v>
      </c>
      <c r="D17" s="100">
        <v>2</v>
      </c>
      <c r="E17" s="55">
        <v>0.5</v>
      </c>
      <c r="F17" s="55"/>
      <c r="G17" s="55"/>
      <c r="H17" s="55">
        <v>19.57</v>
      </c>
      <c r="I17" s="62">
        <f>D17*E17*H17*C17/1000</f>
        <v>3.9140000000000001E-2</v>
      </c>
      <c r="J17" s="61" t="s">
        <v>76</v>
      </c>
      <c r="K17" s="83"/>
    </row>
    <row r="18" spans="1:13">
      <c r="A18" s="153" t="s">
        <v>26</v>
      </c>
      <c r="B18" s="167"/>
      <c r="C18" s="167"/>
      <c r="D18" s="167"/>
      <c r="E18" s="167"/>
      <c r="F18" s="167"/>
      <c r="G18" s="167"/>
      <c r="H18" s="167"/>
      <c r="I18" s="167"/>
      <c r="J18" s="168"/>
      <c r="K18" s="83"/>
    </row>
    <row r="19" spans="1:13">
      <c r="A19" s="7">
        <f>A17+1</f>
        <v>11</v>
      </c>
      <c r="B19" s="4" t="s">
        <v>20</v>
      </c>
      <c r="C19" s="4">
        <v>2</v>
      </c>
      <c r="D19" s="73">
        <f>2*3</f>
        <v>6</v>
      </c>
      <c r="E19" s="10">
        <v>0.75</v>
      </c>
      <c r="F19" s="10">
        <v>0.75</v>
      </c>
      <c r="G19" s="10"/>
      <c r="H19" s="10">
        <v>4.4999999999999998E-2</v>
      </c>
      <c r="I19" s="57">
        <f>D19*E19*F19*H19*7.85*C19</f>
        <v>2.3844374999999998</v>
      </c>
      <c r="J19" s="2" t="s">
        <v>76</v>
      </c>
      <c r="K19" s="83"/>
    </row>
    <row r="20" spans="1:13">
      <c r="A20" s="7">
        <f>A19+1</f>
        <v>12</v>
      </c>
      <c r="B20" s="4" t="s">
        <v>98</v>
      </c>
      <c r="C20" s="4">
        <v>2</v>
      </c>
      <c r="D20" s="73">
        <f>(8*2)*2</f>
        <v>32</v>
      </c>
      <c r="E20" s="10">
        <v>0.2</v>
      </c>
      <c r="F20" s="10">
        <v>7.0000000000000007E-2</v>
      </c>
      <c r="G20" s="10"/>
      <c r="H20" s="10">
        <v>1.2E-2</v>
      </c>
      <c r="I20" s="54">
        <f>((0.075*0.07)+(0.5*0.03*0.125)+(0.045*0.125))*H20*D20*7.85*C20</f>
        <v>7.6867199999999997E-2</v>
      </c>
      <c r="J20" s="2" t="s">
        <v>76</v>
      </c>
      <c r="K20" s="83"/>
    </row>
    <row r="21" spans="1:13">
      <c r="A21" s="7">
        <f>A20+1</f>
        <v>13</v>
      </c>
      <c r="B21" s="4" t="s">
        <v>99</v>
      </c>
      <c r="C21" s="4">
        <v>2</v>
      </c>
      <c r="D21" s="73">
        <f>12*2</f>
        <v>24</v>
      </c>
      <c r="E21" s="4"/>
      <c r="F21" s="4"/>
      <c r="G21" s="4"/>
      <c r="H21" s="4"/>
      <c r="I21" s="10">
        <f>PI()*0.024^2*1.1*D21*7.85*C21</f>
        <v>0.75002533808250094</v>
      </c>
      <c r="J21" s="2" t="s">
        <v>76</v>
      </c>
      <c r="K21" s="83"/>
    </row>
    <row r="22" spans="1:13">
      <c r="A22" s="7">
        <f>A21+1</f>
        <v>14</v>
      </c>
      <c r="B22" s="4" t="s">
        <v>100</v>
      </c>
      <c r="C22" s="4">
        <v>2</v>
      </c>
      <c r="D22" s="73">
        <f>12*2</f>
        <v>24</v>
      </c>
      <c r="E22" s="4"/>
      <c r="F22" s="4"/>
      <c r="G22" s="4"/>
      <c r="H22" s="4"/>
      <c r="I22" s="10">
        <f>PI()*0.024^2*(0.045+0.045+0.06)*D22*7.85*C22</f>
        <v>0.10227618246579556</v>
      </c>
      <c r="J22" s="2" t="s">
        <v>76</v>
      </c>
      <c r="K22" s="83"/>
    </row>
    <row r="23" spans="1:13">
      <c r="A23" s="59"/>
      <c r="B23" s="169" t="s">
        <v>85</v>
      </c>
      <c r="C23" s="169"/>
      <c r="D23" s="169"/>
      <c r="E23" s="169"/>
      <c r="F23" s="169"/>
      <c r="G23" s="169"/>
      <c r="H23" s="169"/>
      <c r="I23" s="58">
        <f>SUM(I4:I22)</f>
        <v>7.9612612087563557</v>
      </c>
      <c r="J23" s="60"/>
      <c r="K23" s="86"/>
    </row>
    <row r="24" spans="1:13">
      <c r="A24" s="153" t="s">
        <v>26</v>
      </c>
      <c r="B24" s="167"/>
      <c r="C24" s="167"/>
      <c r="D24" s="167"/>
      <c r="E24" s="167"/>
      <c r="F24" s="167"/>
      <c r="G24" s="167"/>
      <c r="H24" s="167"/>
      <c r="I24" s="167"/>
      <c r="J24" s="168"/>
      <c r="K24" s="83"/>
    </row>
    <row r="25" spans="1:13">
      <c r="A25" s="7">
        <f>A21+1</f>
        <v>14</v>
      </c>
      <c r="B25" s="4" t="s">
        <v>87</v>
      </c>
      <c r="C25" s="4">
        <v>2</v>
      </c>
      <c r="D25" s="2">
        <v>1</v>
      </c>
      <c r="E25" s="10">
        <v>15</v>
      </c>
      <c r="F25" s="10"/>
      <c r="G25" s="10">
        <v>1.7</v>
      </c>
      <c r="H25" s="10"/>
      <c r="I25" s="57">
        <f>G25*E25*C25</f>
        <v>51</v>
      </c>
      <c r="J25" s="2" t="s">
        <v>86</v>
      </c>
      <c r="K25" s="83"/>
    </row>
    <row r="26" spans="1:13">
      <c r="A26" s="153" t="s">
        <v>24</v>
      </c>
      <c r="B26" s="154"/>
      <c r="C26" s="154"/>
      <c r="D26" s="154"/>
      <c r="E26" s="154"/>
      <c r="F26" s="154"/>
      <c r="G26" s="154"/>
      <c r="H26" s="154"/>
      <c r="I26" s="154"/>
      <c r="J26" s="155"/>
      <c r="K26" s="85"/>
    </row>
    <row r="27" spans="1:13">
      <c r="A27" s="7">
        <f>A25+1</f>
        <v>15</v>
      </c>
      <c r="B27" s="4" t="s">
        <v>79</v>
      </c>
      <c r="C27" s="4">
        <v>2</v>
      </c>
      <c r="D27" s="2">
        <v>2</v>
      </c>
      <c r="E27" s="4">
        <v>3.5</v>
      </c>
      <c r="F27" s="4">
        <v>3.7</v>
      </c>
      <c r="G27" s="4">
        <v>2.15</v>
      </c>
      <c r="H27" s="10"/>
      <c r="I27" s="4">
        <f>E27*F27*G27*D27*C27</f>
        <v>111.37</v>
      </c>
      <c r="J27" s="2" t="s">
        <v>8</v>
      </c>
      <c r="K27" s="83"/>
    </row>
    <row r="28" spans="1:13">
      <c r="A28" s="7">
        <f>A27+1</f>
        <v>16</v>
      </c>
      <c r="B28" s="4" t="s">
        <v>21</v>
      </c>
      <c r="C28" s="4">
        <v>2</v>
      </c>
      <c r="D28" s="2">
        <v>2</v>
      </c>
      <c r="E28" s="10">
        <v>0.9</v>
      </c>
      <c r="F28" s="10">
        <v>0.9</v>
      </c>
      <c r="G28" s="10">
        <v>2.2999999999999998</v>
      </c>
      <c r="H28" s="10"/>
      <c r="I28" s="4">
        <f>PRODUCT(D28:G28)*C28</f>
        <v>7.452</v>
      </c>
      <c r="J28" s="2" t="s">
        <v>8</v>
      </c>
      <c r="K28" s="83"/>
    </row>
    <row r="29" spans="1:13">
      <c r="A29" s="7">
        <f t="shared" ref="A29:A31" si="2">A28+1</f>
        <v>17</v>
      </c>
      <c r="B29" s="4" t="s">
        <v>77</v>
      </c>
      <c r="C29" s="4">
        <v>2</v>
      </c>
      <c r="D29" s="2">
        <v>2</v>
      </c>
      <c r="E29" s="10">
        <v>3.5</v>
      </c>
      <c r="F29" s="10">
        <v>3.2</v>
      </c>
      <c r="G29" s="10">
        <v>0.2</v>
      </c>
      <c r="H29" s="10"/>
      <c r="I29" s="4">
        <f>PRODUCT(D29:G29)*C29</f>
        <v>8.9600000000000009</v>
      </c>
      <c r="J29" s="2" t="s">
        <v>8</v>
      </c>
      <c r="K29" s="83"/>
      <c r="M29" s="54">
        <f>I28+I29+I30</f>
        <v>22.689139935725837</v>
      </c>
    </row>
    <row r="30" spans="1:13">
      <c r="A30" s="7">
        <f t="shared" si="2"/>
        <v>18</v>
      </c>
      <c r="B30" s="4" t="s">
        <v>78</v>
      </c>
      <c r="C30" s="4">
        <v>2</v>
      </c>
      <c r="D30" s="2">
        <v>2</v>
      </c>
      <c r="E30" s="10">
        <f>1/3*0.3</f>
        <v>9.9999999999999992E-2</v>
      </c>
      <c r="F30" s="10">
        <f>(3.5*3.2)+(1*1)+SQRT(3.5*3.2+1*1)</f>
        <v>15.692849839314597</v>
      </c>
      <c r="G30" s="10"/>
      <c r="H30" s="10"/>
      <c r="I30" s="10">
        <f>PRODUCT(D30:G30)*C30</f>
        <v>6.2771399357258382</v>
      </c>
      <c r="J30" s="2" t="s">
        <v>8</v>
      </c>
      <c r="K30" s="83"/>
      <c r="M30" s="1">
        <f>M29/3</f>
        <v>7.563046645241946</v>
      </c>
    </row>
    <row r="31" spans="1:13">
      <c r="A31" s="7">
        <f t="shared" si="2"/>
        <v>19</v>
      </c>
      <c r="B31" s="4" t="s">
        <v>22</v>
      </c>
      <c r="C31" s="4">
        <v>2</v>
      </c>
      <c r="D31" s="2">
        <v>2</v>
      </c>
      <c r="E31" s="10">
        <f>3.5+0.2</f>
        <v>3.7</v>
      </c>
      <c r="F31" s="10">
        <f>3.2+0.2</f>
        <v>3.4000000000000004</v>
      </c>
      <c r="G31" s="10">
        <v>0.15</v>
      </c>
      <c r="H31" s="10"/>
      <c r="I31" s="4">
        <f>D31*E31*F31*G31*C31</f>
        <v>7.5480000000000009</v>
      </c>
      <c r="J31" s="2" t="s">
        <v>8</v>
      </c>
      <c r="K31" s="83"/>
    </row>
    <row r="32" spans="1:13">
      <c r="A32" s="153" t="s">
        <v>25</v>
      </c>
      <c r="B32" s="167"/>
      <c r="C32" s="167"/>
      <c r="D32" s="167"/>
      <c r="E32" s="167"/>
      <c r="F32" s="167"/>
      <c r="G32" s="167"/>
      <c r="H32" s="167"/>
      <c r="I32" s="167"/>
      <c r="J32" s="168"/>
      <c r="K32" s="83"/>
    </row>
    <row r="33" spans="1:12">
      <c r="A33" s="77">
        <f>A31+1</f>
        <v>20</v>
      </c>
      <c r="B33" s="78" t="s">
        <v>70</v>
      </c>
      <c r="C33" s="78">
        <v>2</v>
      </c>
      <c r="D33" s="79">
        <v>2</v>
      </c>
      <c r="E33" s="78"/>
      <c r="F33" s="78"/>
      <c r="G33" s="78"/>
      <c r="H33" s="78"/>
      <c r="I33" s="80">
        <f>(BBS!N61*C33*D33)</f>
        <v>1.5040502415807595</v>
      </c>
      <c r="J33" s="81" t="s">
        <v>76</v>
      </c>
      <c r="K33" s="85"/>
      <c r="L33" s="1">
        <f>I33*10%</f>
        <v>0.15040502415807597</v>
      </c>
    </row>
    <row r="34" spans="1:12">
      <c r="A34" s="153" t="s">
        <v>102</v>
      </c>
      <c r="B34" s="154"/>
      <c r="C34" s="154"/>
      <c r="D34" s="154"/>
      <c r="E34" s="154"/>
      <c r="F34" s="154"/>
      <c r="G34" s="154"/>
      <c r="H34" s="154"/>
      <c r="I34" s="154"/>
      <c r="J34" s="155"/>
      <c r="K34" s="64"/>
    </row>
    <row r="35" spans="1:12">
      <c r="A35" s="7">
        <v>21</v>
      </c>
      <c r="B35" s="4" t="s">
        <v>102</v>
      </c>
      <c r="C35" s="4">
        <v>2</v>
      </c>
      <c r="D35" s="2">
        <v>2</v>
      </c>
      <c r="E35" s="75">
        <v>0.75</v>
      </c>
      <c r="F35" s="75">
        <v>0.75</v>
      </c>
      <c r="G35" s="76">
        <v>0.04</v>
      </c>
      <c r="H35" s="76">
        <v>2.2000000000000002</v>
      </c>
      <c r="I35" s="76">
        <f>H35*G35*F35*E35*1000*D35*C35</f>
        <v>198</v>
      </c>
      <c r="J35" s="2" t="s">
        <v>101</v>
      </c>
      <c r="K35" s="83"/>
    </row>
    <row r="36" spans="1:12">
      <c r="E36" s="65" t="s">
        <v>88</v>
      </c>
      <c r="G36" s="72" t="s">
        <v>97</v>
      </c>
      <c r="H36" s="65">
        <v>1</v>
      </c>
    </row>
    <row r="37" spans="1:12">
      <c r="E37" s="66" t="s">
        <v>89</v>
      </c>
      <c r="F37" s="3" t="s">
        <v>84</v>
      </c>
      <c r="G37" s="3"/>
      <c r="H37" s="67">
        <f>I27*H36*1.15</f>
        <v>128.07550000000001</v>
      </c>
      <c r="I37" s="56"/>
      <c r="J37" s="68"/>
      <c r="K37" s="68"/>
    </row>
    <row r="38" spans="1:12">
      <c r="E38" s="66" t="s">
        <v>90</v>
      </c>
      <c r="F38" s="3" t="s">
        <v>84</v>
      </c>
      <c r="G38" s="3"/>
      <c r="H38" s="67">
        <f>I31*H36*1.15</f>
        <v>8.680200000000001</v>
      </c>
      <c r="J38" s="68"/>
      <c r="K38" s="68"/>
    </row>
    <row r="39" spans="1:12">
      <c r="E39" s="66" t="s">
        <v>91</v>
      </c>
      <c r="F39" s="3" t="s">
        <v>84</v>
      </c>
      <c r="G39" s="3"/>
      <c r="H39" s="67">
        <f>(I28+I29+I30)*H36*1.15</f>
        <v>26.09251092608471</v>
      </c>
      <c r="J39" s="68"/>
      <c r="K39" s="68"/>
    </row>
    <row r="40" spans="1:12">
      <c r="E40" s="66" t="s">
        <v>92</v>
      </c>
      <c r="F40" s="3" t="s">
        <v>76</v>
      </c>
      <c r="G40" s="3"/>
      <c r="H40" s="67">
        <f>I33*H36*1.15</f>
        <v>1.7296577778178732</v>
      </c>
      <c r="J40" s="88">
        <f>H40/H39</f>
        <v>6.6289433880766635E-2</v>
      </c>
      <c r="K40" s="68"/>
    </row>
    <row r="41" spans="1:12">
      <c r="E41" s="66" t="s">
        <v>93</v>
      </c>
      <c r="F41" s="3" t="s">
        <v>76</v>
      </c>
      <c r="G41" s="3"/>
      <c r="H41" s="67">
        <f>I23*H36*1.15</f>
        <v>9.1554503900698077</v>
      </c>
      <c r="J41" s="68"/>
      <c r="K41" s="68"/>
    </row>
    <row r="42" spans="1:12">
      <c r="E42" s="66" t="s">
        <v>94</v>
      </c>
      <c r="F42" s="3" t="s">
        <v>86</v>
      </c>
      <c r="G42" s="3"/>
      <c r="H42" s="56">
        <f>I25*H36*1.15</f>
        <v>58.65</v>
      </c>
      <c r="J42" s="68"/>
      <c r="K42" s="68"/>
    </row>
    <row r="43" spans="1:12">
      <c r="E43" s="66" t="s">
        <v>102</v>
      </c>
      <c r="F43" s="3" t="s">
        <v>101</v>
      </c>
      <c r="G43" s="3"/>
      <c r="H43" s="56">
        <f>I35*H36*1.15</f>
        <v>227.7</v>
      </c>
      <c r="J43" s="68"/>
      <c r="K43" s="68"/>
    </row>
    <row r="44" spans="1:12">
      <c r="E44" s="66"/>
      <c r="F44" s="3"/>
      <c r="G44" s="3"/>
      <c r="H44" s="56"/>
      <c r="J44" s="68"/>
      <c r="K44" s="68"/>
    </row>
    <row r="45" spans="1:12">
      <c r="D45" s="1"/>
      <c r="K45" s="69"/>
    </row>
    <row r="46" spans="1:12">
      <c r="B46" s="8"/>
      <c r="C46" s="8"/>
      <c r="D46" s="8">
        <f>D51/C54</f>
        <v>1250</v>
      </c>
      <c r="E46" s="8"/>
      <c r="F46" s="8"/>
      <c r="G46" s="8"/>
      <c r="H46" s="8"/>
      <c r="I46" s="8"/>
      <c r="J46" s="8"/>
    </row>
    <row r="47" spans="1:12">
      <c r="B47" s="3"/>
      <c r="C47" s="3"/>
      <c r="E47" s="3"/>
      <c r="F47" s="3"/>
      <c r="G47" s="3"/>
      <c r="H47" s="3"/>
      <c r="I47" s="3"/>
      <c r="J47" s="3"/>
    </row>
    <row r="48" spans="1:12">
      <c r="D48" s="1"/>
      <c r="I48" s="1">
        <v>1525</v>
      </c>
    </row>
    <row r="49" spans="2:7">
      <c r="D49" s="1"/>
    </row>
    <row r="50" spans="2:7">
      <c r="D50" s="1"/>
    </row>
    <row r="51" spans="2:7">
      <c r="B51" s="3">
        <f>1250</f>
        <v>1250</v>
      </c>
      <c r="D51" s="166">
        <f>D53-B51-G51</f>
        <v>12500</v>
      </c>
      <c r="E51" s="166"/>
      <c r="G51" s="1">
        <f>1250</f>
        <v>1250</v>
      </c>
    </row>
    <row r="52" spans="2:7">
      <c r="D52" s="1"/>
    </row>
    <row r="53" spans="2:7">
      <c r="D53" s="1">
        <v>15000</v>
      </c>
    </row>
    <row r="54" spans="2:7">
      <c r="B54" s="2" t="s">
        <v>38</v>
      </c>
      <c r="C54" s="2">
        <v>10</v>
      </c>
      <c r="D54" s="1"/>
    </row>
    <row r="55" spans="2:7">
      <c r="B55" s="2" t="s">
        <v>38</v>
      </c>
      <c r="C55" s="87">
        <f>((D53-1250-1250)/1250)+1</f>
        <v>11</v>
      </c>
      <c r="D55" s="1"/>
    </row>
    <row r="56" spans="2:7">
      <c r="D56" s="1"/>
    </row>
  </sheetData>
  <mergeCells count="13">
    <mergeCell ref="D51:E51"/>
    <mergeCell ref="A34:J34"/>
    <mergeCell ref="A1:J1"/>
    <mergeCell ref="A3:J3"/>
    <mergeCell ref="A5:J5"/>
    <mergeCell ref="N7:O7"/>
    <mergeCell ref="A12:J12"/>
    <mergeCell ref="A16:J16"/>
    <mergeCell ref="A18:J18"/>
    <mergeCell ref="B23:H23"/>
    <mergeCell ref="A24:J24"/>
    <mergeCell ref="A26:J26"/>
    <mergeCell ref="A32:J32"/>
  </mergeCells>
  <pageMargins left="0.25" right="0.25" top="0.75" bottom="0.75" header="0.3" footer="0.3"/>
  <pageSetup paperSize="9" scale="6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1FA36-505C-4D12-97F4-72A00E96DEDC}">
  <sheetPr>
    <pageSetUpPr fitToPage="1"/>
  </sheetPr>
  <dimension ref="A1"/>
  <sheetViews>
    <sheetView topLeftCell="A28" zoomScale="68" zoomScaleNormal="85" workbookViewId="0">
      <selection activeCell="S41" sqref="A1:S41"/>
    </sheetView>
  </sheetViews>
  <sheetFormatPr defaultRowHeight="14.5"/>
  <sheetData/>
  <pageMargins left="0.25" right="0.25" top="0.75" bottom="0.75" header="0.3" footer="0.3"/>
  <pageSetup paperSize="9" scale="8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45123-9115-46D4-955B-38E9953636AC}">
  <sheetPr>
    <pageSetUpPr fitToPage="1"/>
  </sheetPr>
  <dimension ref="A1:P61"/>
  <sheetViews>
    <sheetView tabSelected="1" zoomScale="78" zoomScaleNormal="90" workbookViewId="0">
      <selection activeCell="O63" sqref="A1:O63"/>
    </sheetView>
  </sheetViews>
  <sheetFormatPr defaultRowHeight="14.5"/>
  <cols>
    <col min="1" max="1" width="44.1796875" bestFit="1" customWidth="1"/>
    <col min="2" max="2" width="10.81640625" customWidth="1"/>
    <col min="3" max="3" width="12.6328125" customWidth="1"/>
    <col min="11" max="11" width="11.453125" customWidth="1"/>
    <col min="12" max="12" width="12.1796875" bestFit="1" customWidth="1"/>
    <col min="15" max="15" width="12.90625" customWidth="1"/>
  </cols>
  <sheetData>
    <row r="1" spans="1:15">
      <c r="A1" s="11" t="s">
        <v>27</v>
      </c>
      <c r="B1" s="12"/>
      <c r="C1" s="12"/>
      <c r="D1" s="12"/>
      <c r="E1" s="12"/>
      <c r="F1" s="12"/>
      <c r="G1" s="12"/>
      <c r="H1" s="12"/>
      <c r="I1" s="12"/>
      <c r="J1" s="12"/>
      <c r="K1" s="12"/>
      <c r="L1" s="12"/>
      <c r="M1" s="12"/>
      <c r="N1" s="12"/>
      <c r="O1" s="12"/>
    </row>
    <row r="2" spans="1:15">
      <c r="A2" s="11" t="s">
        <v>28</v>
      </c>
      <c r="B2" s="12"/>
      <c r="C2" s="12"/>
      <c r="D2" s="12"/>
      <c r="E2" s="12"/>
      <c r="F2" s="12"/>
      <c r="G2" s="12"/>
      <c r="H2" s="12"/>
      <c r="I2" s="12"/>
      <c r="J2" s="12"/>
      <c r="K2" s="12"/>
      <c r="L2" s="12"/>
      <c r="M2" s="12"/>
      <c r="N2" s="12"/>
      <c r="O2" s="12"/>
    </row>
    <row r="3" spans="1:15">
      <c r="A3" s="11" t="s">
        <v>29</v>
      </c>
      <c r="B3" s="12"/>
      <c r="C3" s="12"/>
      <c r="D3" s="12"/>
      <c r="E3" s="12"/>
      <c r="F3" s="12"/>
      <c r="G3" s="12"/>
      <c r="H3" s="12"/>
      <c r="I3" s="12"/>
      <c r="J3" s="12"/>
      <c r="K3" s="12"/>
      <c r="L3" s="12"/>
      <c r="M3" s="12"/>
      <c r="N3" s="12"/>
      <c r="O3" s="12"/>
    </row>
    <row r="4" spans="1:15">
      <c r="A4" s="11" t="s">
        <v>66</v>
      </c>
      <c r="B4" s="12"/>
      <c r="C4" s="12"/>
      <c r="D4" s="12"/>
      <c r="E4" s="12"/>
      <c r="F4" s="12"/>
      <c r="G4" s="12"/>
      <c r="H4" s="12"/>
      <c r="I4" s="12"/>
      <c r="J4" s="12"/>
      <c r="K4" s="12"/>
      <c r="L4" s="12"/>
      <c r="M4" s="12"/>
      <c r="N4" s="12"/>
      <c r="O4" s="12"/>
    </row>
    <row r="5" spans="1:15">
      <c r="A5" s="43" t="s">
        <v>67</v>
      </c>
      <c r="B5" s="43" t="s">
        <v>69</v>
      </c>
      <c r="C5" s="43" t="s">
        <v>68</v>
      </c>
      <c r="D5" s="184" t="s">
        <v>73</v>
      </c>
      <c r="E5" s="185"/>
      <c r="F5" s="186"/>
      <c r="G5" s="12"/>
      <c r="H5" s="12"/>
      <c r="I5" s="12"/>
      <c r="J5" s="12"/>
      <c r="K5" s="12"/>
      <c r="L5" s="12"/>
      <c r="M5" s="12"/>
      <c r="N5" s="12"/>
      <c r="O5" s="12"/>
    </row>
    <row r="6" spans="1:15">
      <c r="A6" s="41" t="s">
        <v>30</v>
      </c>
      <c r="B6" s="40">
        <v>900</v>
      </c>
      <c r="C6" s="40" t="s">
        <v>34</v>
      </c>
      <c r="D6" s="42"/>
      <c r="E6" s="42"/>
      <c r="F6" s="42"/>
      <c r="G6" s="12"/>
      <c r="H6" s="12"/>
      <c r="I6" s="12"/>
      <c r="J6" s="12"/>
      <c r="K6" s="12"/>
      <c r="L6" s="12"/>
      <c r="M6" s="12"/>
      <c r="N6" s="12"/>
      <c r="O6" s="12"/>
    </row>
    <row r="7" spans="1:15">
      <c r="A7" s="41" t="s">
        <v>31</v>
      </c>
      <c r="B7" s="40">
        <v>40</v>
      </c>
      <c r="C7" s="40" t="s">
        <v>34</v>
      </c>
      <c r="D7" s="42"/>
      <c r="E7" s="42"/>
      <c r="F7" s="42"/>
      <c r="G7" s="12"/>
      <c r="H7" s="12"/>
      <c r="I7" s="12"/>
      <c r="J7" s="12"/>
      <c r="K7" s="12"/>
      <c r="L7" s="12"/>
      <c r="M7" s="12"/>
      <c r="N7" s="12"/>
      <c r="O7" s="12"/>
    </row>
    <row r="8" spans="1:15">
      <c r="A8" s="41" t="s">
        <v>32</v>
      </c>
      <c r="B8" s="40">
        <v>2300</v>
      </c>
      <c r="C8" s="40" t="s">
        <v>34</v>
      </c>
      <c r="D8" s="42"/>
      <c r="E8" s="42"/>
      <c r="F8" s="42"/>
      <c r="G8" s="12"/>
      <c r="H8" s="12"/>
      <c r="I8" s="12"/>
      <c r="J8" s="12"/>
      <c r="K8" s="12"/>
      <c r="L8" s="12"/>
      <c r="M8" s="12"/>
      <c r="N8" s="12"/>
      <c r="O8" s="12"/>
    </row>
    <row r="9" spans="1:15">
      <c r="A9" s="41" t="s">
        <v>33</v>
      </c>
      <c r="B9" s="40">
        <v>8</v>
      </c>
      <c r="C9" s="40" t="s">
        <v>34</v>
      </c>
      <c r="D9" s="44" t="s">
        <v>35</v>
      </c>
      <c r="E9" s="45">
        <v>150</v>
      </c>
      <c r="F9" s="45" t="s">
        <v>36</v>
      </c>
      <c r="G9" s="12"/>
      <c r="H9" s="12"/>
      <c r="I9" s="12"/>
      <c r="J9" s="12"/>
      <c r="K9" s="12"/>
      <c r="L9" s="12"/>
      <c r="M9" s="12"/>
      <c r="N9" s="12"/>
      <c r="O9" s="12"/>
    </row>
    <row r="10" spans="1:15">
      <c r="A10" s="41" t="s">
        <v>37</v>
      </c>
      <c r="B10" s="40">
        <v>12</v>
      </c>
      <c r="C10" s="40" t="s">
        <v>34</v>
      </c>
      <c r="D10" s="44" t="s">
        <v>38</v>
      </c>
      <c r="E10" s="45">
        <v>16</v>
      </c>
      <c r="F10" s="45" t="s">
        <v>38</v>
      </c>
      <c r="G10" s="12"/>
      <c r="H10" s="12"/>
      <c r="I10" s="12"/>
      <c r="J10" s="12"/>
      <c r="K10" s="12"/>
      <c r="L10" s="12"/>
      <c r="M10" s="12"/>
      <c r="N10" s="12"/>
      <c r="O10" s="12"/>
    </row>
    <row r="11" spans="1:15" ht="24">
      <c r="A11" s="39" t="s">
        <v>39</v>
      </c>
      <c r="B11" s="40">
        <v>500</v>
      </c>
      <c r="C11" s="40" t="s">
        <v>34</v>
      </c>
      <c r="D11" s="45"/>
      <c r="E11" s="45"/>
      <c r="F11" s="45"/>
      <c r="G11" s="12"/>
      <c r="H11" s="12"/>
      <c r="I11" s="12"/>
      <c r="J11" s="12"/>
      <c r="K11" s="12"/>
      <c r="L11" s="12"/>
      <c r="M11" s="12"/>
      <c r="N11" s="12"/>
      <c r="O11" s="12"/>
    </row>
    <row r="12" spans="1:15">
      <c r="A12" s="41" t="s">
        <v>40</v>
      </c>
      <c r="B12" s="40">
        <v>3500</v>
      </c>
      <c r="C12" s="40" t="s">
        <v>34</v>
      </c>
      <c r="D12" s="45"/>
      <c r="E12" s="45"/>
      <c r="F12" s="45"/>
      <c r="G12" s="12"/>
      <c r="H12" s="12"/>
      <c r="I12" s="12"/>
      <c r="J12" s="12"/>
      <c r="K12" s="12"/>
      <c r="L12" s="12"/>
      <c r="M12" s="12"/>
      <c r="N12" s="12"/>
      <c r="O12" s="12"/>
    </row>
    <row r="13" spans="1:15">
      <c r="A13" s="41" t="s">
        <v>41</v>
      </c>
      <c r="B13" s="40">
        <v>3200</v>
      </c>
      <c r="C13" s="40" t="s">
        <v>34</v>
      </c>
      <c r="D13" s="45"/>
      <c r="E13" s="45"/>
      <c r="F13" s="45"/>
      <c r="G13" s="12"/>
      <c r="H13" s="12"/>
      <c r="I13" s="12"/>
      <c r="J13" s="12"/>
      <c r="K13" s="12"/>
      <c r="L13" s="12"/>
      <c r="M13" s="12"/>
      <c r="N13" s="12"/>
      <c r="O13" s="12"/>
    </row>
    <row r="14" spans="1:15">
      <c r="A14" s="41" t="s">
        <v>42</v>
      </c>
      <c r="B14" s="40">
        <v>200</v>
      </c>
      <c r="C14" s="40" t="s">
        <v>34</v>
      </c>
      <c r="D14" s="45"/>
      <c r="E14" s="45"/>
      <c r="F14" s="45"/>
      <c r="G14" s="12"/>
      <c r="H14" s="12"/>
      <c r="I14" s="12"/>
      <c r="J14" s="12"/>
      <c r="K14" s="12"/>
      <c r="L14" s="12"/>
      <c r="M14" s="12"/>
      <c r="N14" s="12"/>
      <c r="O14" s="12"/>
    </row>
    <row r="15" spans="1:15">
      <c r="A15" s="41" t="s">
        <v>43</v>
      </c>
      <c r="B15" s="40">
        <v>300</v>
      </c>
      <c r="C15" s="40" t="s">
        <v>34</v>
      </c>
      <c r="D15" s="45"/>
      <c r="E15" s="45"/>
      <c r="F15" s="45"/>
      <c r="G15" s="12"/>
      <c r="H15" s="12"/>
      <c r="I15" s="12"/>
      <c r="J15" s="12"/>
      <c r="K15" s="12"/>
      <c r="L15" s="12"/>
      <c r="M15" s="12"/>
      <c r="N15" s="12"/>
      <c r="O15" s="12"/>
    </row>
    <row r="16" spans="1:15">
      <c r="A16" s="41" t="s">
        <v>44</v>
      </c>
      <c r="B16" s="40">
        <v>75</v>
      </c>
      <c r="C16" s="40" t="s">
        <v>34</v>
      </c>
      <c r="D16" s="45"/>
      <c r="E16" s="45"/>
      <c r="F16" s="45"/>
      <c r="G16" s="12"/>
      <c r="H16" s="12"/>
      <c r="I16" s="12"/>
      <c r="J16" s="12"/>
      <c r="K16" s="12"/>
      <c r="L16" s="12"/>
      <c r="M16" s="12"/>
      <c r="N16" s="12"/>
      <c r="O16" s="12"/>
    </row>
    <row r="17" spans="1:15" ht="24">
      <c r="A17" s="39" t="s">
        <v>71</v>
      </c>
      <c r="B17" s="40">
        <v>12</v>
      </c>
      <c r="C17" s="40" t="s">
        <v>34</v>
      </c>
      <c r="D17" s="44" t="s">
        <v>35</v>
      </c>
      <c r="E17" s="45">
        <v>150</v>
      </c>
      <c r="F17" s="45" t="s">
        <v>36</v>
      </c>
      <c r="G17" s="12"/>
      <c r="H17" s="12"/>
      <c r="I17" s="12"/>
      <c r="J17" s="12"/>
      <c r="K17" s="12"/>
      <c r="L17" s="12"/>
      <c r="M17" s="12"/>
      <c r="N17" s="12"/>
      <c r="O17" s="12"/>
    </row>
    <row r="18" spans="1:15" ht="24">
      <c r="A18" s="39" t="s">
        <v>72</v>
      </c>
      <c r="B18" s="40">
        <v>10</v>
      </c>
      <c r="C18" s="40" t="s">
        <v>34</v>
      </c>
      <c r="D18" s="44" t="s">
        <v>35</v>
      </c>
      <c r="E18" s="45">
        <v>150</v>
      </c>
      <c r="F18" s="45" t="s">
        <v>36</v>
      </c>
      <c r="G18" s="12"/>
      <c r="H18" s="12"/>
      <c r="I18" s="12"/>
      <c r="J18" s="12"/>
      <c r="K18" s="12"/>
      <c r="L18" s="12"/>
      <c r="M18" s="12"/>
      <c r="N18" s="12"/>
      <c r="O18" s="12"/>
    </row>
    <row r="19" spans="1:15">
      <c r="A19" s="12"/>
      <c r="B19" s="12"/>
      <c r="C19" s="12"/>
      <c r="D19" s="12"/>
      <c r="E19" s="12"/>
      <c r="F19" s="12"/>
      <c r="G19" s="12"/>
      <c r="H19" s="12"/>
      <c r="I19" s="12"/>
      <c r="J19" s="12"/>
      <c r="K19" s="12"/>
      <c r="L19" s="12"/>
      <c r="M19" s="12"/>
      <c r="N19" s="12"/>
      <c r="O19" s="12"/>
    </row>
    <row r="20" spans="1:15" ht="46">
      <c r="A20" s="13" t="s">
        <v>45</v>
      </c>
      <c r="B20" s="14" t="s">
        <v>46</v>
      </c>
      <c r="C20" s="14" t="s">
        <v>47</v>
      </c>
      <c r="D20" s="15" t="s">
        <v>48</v>
      </c>
      <c r="E20" s="15"/>
      <c r="F20" s="15"/>
      <c r="G20" s="15"/>
      <c r="H20" s="13" t="s">
        <v>49</v>
      </c>
      <c r="I20" s="13" t="s">
        <v>50</v>
      </c>
      <c r="J20" s="13" t="s">
        <v>51</v>
      </c>
      <c r="K20" s="13" t="s">
        <v>52</v>
      </c>
      <c r="L20" s="13" t="s">
        <v>53</v>
      </c>
      <c r="M20" s="13" t="s">
        <v>54</v>
      </c>
      <c r="N20" s="13" t="s">
        <v>55</v>
      </c>
      <c r="O20" s="13" t="s">
        <v>56</v>
      </c>
    </row>
    <row r="21" spans="1:15">
      <c r="A21" s="170">
        <v>1</v>
      </c>
      <c r="B21" s="170" t="s">
        <v>57</v>
      </c>
      <c r="C21" s="170" t="s">
        <v>58</v>
      </c>
      <c r="D21" s="17"/>
      <c r="E21" s="173">
        <f>B6-2*B7</f>
        <v>820</v>
      </c>
      <c r="F21" s="173"/>
      <c r="G21" s="17"/>
      <c r="H21" s="93">
        <f>B9</f>
        <v>8</v>
      </c>
      <c r="I21" s="93">
        <f>E9</f>
        <v>150</v>
      </c>
      <c r="J21" s="93">
        <f>ROUNDUP(((B8+B14+B15-B16-B7)/I21)+1,0)</f>
        <v>19</v>
      </c>
      <c r="K21" s="93">
        <f>5*2*H21</f>
        <v>80</v>
      </c>
      <c r="L21" s="94">
        <f>(E21+G24+D24+E27-K21+200)*0.001</f>
        <v>3.4</v>
      </c>
      <c r="M21" s="94">
        <f>H21^2/162.2</f>
        <v>0.39457459926017263</v>
      </c>
      <c r="N21" s="94">
        <f>M21*L21*J21</f>
        <v>25.489519112207152</v>
      </c>
      <c r="O21" s="16"/>
    </row>
    <row r="22" spans="1:15">
      <c r="A22" s="171"/>
      <c r="B22" s="171"/>
      <c r="C22" s="171"/>
      <c r="D22" s="19"/>
      <c r="E22" s="20"/>
      <c r="F22" s="21"/>
      <c r="G22" s="19"/>
      <c r="H22" s="18"/>
      <c r="I22" s="18"/>
      <c r="J22" s="18"/>
      <c r="K22" s="18"/>
      <c r="L22" s="52"/>
      <c r="M22" s="18"/>
      <c r="N22" s="18"/>
      <c r="O22" s="18"/>
    </row>
    <row r="23" spans="1:15">
      <c r="A23" s="171"/>
      <c r="B23" s="171"/>
      <c r="C23" s="171"/>
      <c r="D23" s="19"/>
      <c r="E23" s="23"/>
      <c r="F23" s="24"/>
      <c r="G23" s="12"/>
      <c r="H23" s="18"/>
      <c r="I23" s="18"/>
      <c r="J23" s="18"/>
      <c r="K23" s="18"/>
      <c r="L23" s="52"/>
      <c r="M23" s="18"/>
      <c r="N23" s="18"/>
      <c r="O23" s="18"/>
    </row>
    <row r="24" spans="1:15">
      <c r="A24" s="171"/>
      <c r="B24" s="171"/>
      <c r="C24" s="171"/>
      <c r="D24" s="25">
        <f>B6-2*B7</f>
        <v>820</v>
      </c>
      <c r="E24" s="26"/>
      <c r="F24" s="24"/>
      <c r="G24" s="27">
        <f>B6-2*B7</f>
        <v>820</v>
      </c>
      <c r="H24" s="18"/>
      <c r="I24" s="18"/>
      <c r="J24" s="18"/>
      <c r="K24" s="18"/>
      <c r="L24" s="52"/>
      <c r="M24" s="18"/>
      <c r="N24" s="18"/>
      <c r="O24" s="18"/>
    </row>
    <row r="25" spans="1:15">
      <c r="A25" s="171"/>
      <c r="B25" s="171"/>
      <c r="C25" s="171"/>
      <c r="D25" s="19"/>
      <c r="E25" s="26"/>
      <c r="F25" s="24"/>
      <c r="G25" s="19"/>
      <c r="H25" s="18"/>
      <c r="I25" s="18"/>
      <c r="J25" s="18"/>
      <c r="K25" s="18"/>
      <c r="L25" s="52"/>
      <c r="M25" s="18"/>
      <c r="N25" s="18"/>
      <c r="O25" s="18"/>
    </row>
    <row r="26" spans="1:15">
      <c r="A26" s="171"/>
      <c r="B26" s="171"/>
      <c r="C26" s="171"/>
      <c r="D26" s="19"/>
      <c r="E26" s="28"/>
      <c r="F26" s="29"/>
      <c r="G26" s="19"/>
      <c r="H26" s="18"/>
      <c r="I26" s="18"/>
      <c r="J26" s="18"/>
      <c r="K26" s="18"/>
      <c r="L26" s="52"/>
      <c r="M26" s="18"/>
      <c r="N26" s="18"/>
      <c r="O26" s="18"/>
    </row>
    <row r="27" spans="1:15">
      <c r="A27" s="172"/>
      <c r="B27" s="172"/>
      <c r="C27" s="172"/>
      <c r="D27" s="31"/>
      <c r="E27" s="173">
        <f>B6-2*B7</f>
        <v>820</v>
      </c>
      <c r="F27" s="173"/>
      <c r="G27" s="31"/>
      <c r="H27" s="30"/>
      <c r="I27" s="18"/>
      <c r="J27" s="18"/>
      <c r="K27" s="18"/>
      <c r="L27" s="52"/>
      <c r="M27" s="18"/>
      <c r="N27" s="18"/>
      <c r="O27" s="18"/>
    </row>
    <row r="28" spans="1:15">
      <c r="A28" s="170">
        <v>2</v>
      </c>
      <c r="B28" s="170" t="s">
        <v>57</v>
      </c>
      <c r="C28" s="170" t="s">
        <v>58</v>
      </c>
      <c r="D28" s="19"/>
      <c r="E28" s="174">
        <f>B6-2*B7</f>
        <v>820</v>
      </c>
      <c r="F28" s="174"/>
      <c r="G28" s="19"/>
      <c r="H28" s="95">
        <v>8</v>
      </c>
      <c r="I28" s="93">
        <f>E9</f>
        <v>150</v>
      </c>
      <c r="J28" s="93">
        <f>ROUNDUP(((B8+B14+B15-B16-B7)/I28)+1,0)</f>
        <v>19</v>
      </c>
      <c r="K28" s="93">
        <f>5*2*H28</f>
        <v>80</v>
      </c>
      <c r="L28" s="94">
        <f>(E28+G30+E32+D30-K28+200)*0.001</f>
        <v>2.58</v>
      </c>
      <c r="M28" s="94">
        <f>H28^2/162.2</f>
        <v>0.39457459926017263</v>
      </c>
      <c r="N28" s="94">
        <f>M28*L28*J28</f>
        <v>19.342046855733663</v>
      </c>
      <c r="O28" s="16"/>
    </row>
    <row r="29" spans="1:15">
      <c r="A29" s="171"/>
      <c r="B29" s="171"/>
      <c r="C29" s="171"/>
      <c r="D29" s="19"/>
      <c r="E29" s="20"/>
      <c r="F29" s="21"/>
      <c r="G29" s="19"/>
      <c r="H29" s="18"/>
      <c r="I29" s="18"/>
      <c r="J29" s="18"/>
      <c r="K29" s="18"/>
      <c r="L29" s="52"/>
      <c r="M29" s="18"/>
      <c r="N29" s="18"/>
      <c r="O29" s="18"/>
    </row>
    <row r="30" spans="1:15">
      <c r="A30" s="171"/>
      <c r="B30" s="171"/>
      <c r="C30" s="171"/>
      <c r="D30" s="19">
        <f>((B6-2*B7)/4)*2</f>
        <v>410</v>
      </c>
      <c r="E30" s="26"/>
      <c r="F30" s="24"/>
      <c r="G30" s="32">
        <f>((B6-2*B7)/4)*2</f>
        <v>410</v>
      </c>
      <c r="H30" s="18"/>
      <c r="I30" s="18"/>
      <c r="J30" s="18"/>
      <c r="K30" s="18"/>
      <c r="L30" s="52"/>
      <c r="M30" s="18"/>
      <c r="N30" s="18"/>
      <c r="O30" s="18"/>
    </row>
    <row r="31" spans="1:15">
      <c r="A31" s="171"/>
      <c r="B31" s="171"/>
      <c r="C31" s="171"/>
      <c r="D31" s="19"/>
      <c r="E31" s="28"/>
      <c r="F31" s="29"/>
      <c r="G31" s="19"/>
      <c r="H31" s="18"/>
      <c r="I31" s="18"/>
      <c r="J31" s="18"/>
      <c r="K31" s="18"/>
      <c r="L31" s="52"/>
      <c r="M31" s="18"/>
      <c r="N31" s="18"/>
      <c r="O31" s="18"/>
    </row>
    <row r="32" spans="1:15">
      <c r="A32" s="172"/>
      <c r="B32" s="172"/>
      <c r="C32" s="172"/>
      <c r="D32" s="19"/>
      <c r="E32" s="173">
        <f>B6-2*B7</f>
        <v>820</v>
      </c>
      <c r="F32" s="173"/>
      <c r="G32" s="19"/>
      <c r="H32" s="18"/>
      <c r="I32" s="18"/>
      <c r="J32" s="18"/>
      <c r="K32" s="18"/>
      <c r="L32" s="52"/>
      <c r="M32" s="18"/>
      <c r="N32" s="18"/>
      <c r="O32" s="18"/>
    </row>
    <row r="33" spans="1:15">
      <c r="A33" s="170">
        <v>3</v>
      </c>
      <c r="B33" s="170" t="s">
        <v>57</v>
      </c>
      <c r="C33" s="170" t="s">
        <v>59</v>
      </c>
      <c r="D33" s="17"/>
      <c r="E33" s="17"/>
      <c r="F33" s="17"/>
      <c r="G33" s="17"/>
      <c r="H33" s="93">
        <v>8</v>
      </c>
      <c r="I33" s="93">
        <f>E9</f>
        <v>150</v>
      </c>
      <c r="J33" s="93">
        <f>ROUNDUP(((B8+B14+B15-B16-B7)/I28)+1,0)</f>
        <v>19</v>
      </c>
      <c r="K33" s="93">
        <f>2*2*H33</f>
        <v>32</v>
      </c>
      <c r="L33" s="94">
        <f>(E36+200-K33)*0.001</f>
        <v>0.98799999999999999</v>
      </c>
      <c r="M33" s="94">
        <f>H33^2/162.2</f>
        <v>0.39457459926017263</v>
      </c>
      <c r="N33" s="94">
        <f>M33*L33*J33</f>
        <v>7.4069543773119602</v>
      </c>
      <c r="O33" s="16"/>
    </row>
    <row r="34" spans="1:15">
      <c r="A34" s="171"/>
      <c r="B34" s="171"/>
      <c r="C34" s="171"/>
      <c r="D34" s="19"/>
      <c r="E34" s="19"/>
      <c r="F34" s="19"/>
      <c r="G34" s="19"/>
      <c r="H34" s="18"/>
      <c r="I34" s="18"/>
      <c r="J34" s="18"/>
      <c r="K34" s="18"/>
      <c r="L34" s="52"/>
      <c r="M34" s="18"/>
      <c r="N34" s="18"/>
      <c r="O34" s="18"/>
    </row>
    <row r="35" spans="1:15">
      <c r="A35" s="171"/>
      <c r="B35" s="171"/>
      <c r="C35" s="171"/>
      <c r="D35" s="19"/>
      <c r="E35" s="31"/>
      <c r="F35" s="31"/>
      <c r="G35" s="32"/>
      <c r="H35" s="18"/>
      <c r="I35" s="18"/>
      <c r="J35" s="18"/>
      <c r="K35" s="18"/>
      <c r="L35" s="52"/>
      <c r="M35" s="18"/>
      <c r="N35" s="18"/>
      <c r="O35" s="18"/>
    </row>
    <row r="36" spans="1:15">
      <c r="A36" s="172"/>
      <c r="B36" s="172"/>
      <c r="C36" s="172"/>
      <c r="D36" s="31"/>
      <c r="E36" s="175">
        <f>B6-2*B7</f>
        <v>820</v>
      </c>
      <c r="F36" s="174"/>
      <c r="G36" s="31"/>
      <c r="H36" s="30"/>
      <c r="I36" s="30"/>
      <c r="J36" s="30"/>
      <c r="K36" s="30"/>
      <c r="L36" s="53"/>
      <c r="M36" s="30"/>
      <c r="N36" s="30"/>
      <c r="O36" s="30"/>
    </row>
    <row r="37" spans="1:15">
      <c r="A37" s="170">
        <v>4</v>
      </c>
      <c r="B37" s="170" t="s">
        <v>57</v>
      </c>
      <c r="C37" s="170" t="s">
        <v>60</v>
      </c>
      <c r="D37" s="20"/>
      <c r="E37" s="92">
        <f>900-40-40</f>
        <v>820</v>
      </c>
      <c r="F37" s="17"/>
      <c r="G37" s="21"/>
      <c r="H37" s="93">
        <v>12</v>
      </c>
      <c r="I37" s="16"/>
      <c r="J37" s="93">
        <f>E10</f>
        <v>16</v>
      </c>
      <c r="K37" s="93">
        <f>2*4*H37</f>
        <v>96</v>
      </c>
      <c r="L37" s="94">
        <f>(D41+D39+E37+F39+F41-K37)/1000</f>
        <v>7.0940000000000003</v>
      </c>
      <c r="M37" s="94">
        <f>H37^2/162.2</f>
        <v>0.88779284833538852</v>
      </c>
      <c r="N37" s="94">
        <f>M37*L37*J37</f>
        <v>100.76803945745995</v>
      </c>
      <c r="O37" s="16"/>
    </row>
    <row r="38" spans="1:15">
      <c r="A38" s="171"/>
      <c r="B38" s="171"/>
      <c r="C38" s="171"/>
      <c r="D38" s="26"/>
      <c r="E38" s="91"/>
      <c r="F38" s="19"/>
      <c r="G38" s="24"/>
      <c r="H38" s="18"/>
      <c r="I38" s="18"/>
      <c r="J38" s="18"/>
      <c r="K38" s="18"/>
      <c r="L38" s="52"/>
      <c r="M38" s="18"/>
      <c r="N38" s="18"/>
      <c r="O38" s="18"/>
    </row>
    <row r="39" spans="1:15">
      <c r="A39" s="171"/>
      <c r="B39" s="171"/>
      <c r="C39" s="171"/>
      <c r="D39" s="26">
        <f>2800-40-75</f>
        <v>2685</v>
      </c>
      <c r="E39" s="90"/>
      <c r="F39" s="19">
        <f>2800-40-75</f>
        <v>2685</v>
      </c>
      <c r="G39" s="24"/>
      <c r="H39" s="18"/>
      <c r="I39" s="18"/>
      <c r="J39" s="18"/>
      <c r="K39" s="18"/>
      <c r="L39" s="52"/>
      <c r="M39" s="18"/>
      <c r="N39" s="18"/>
      <c r="O39" s="18"/>
    </row>
    <row r="40" spans="1:15">
      <c r="A40" s="171"/>
      <c r="B40" s="171"/>
      <c r="C40" s="171"/>
      <c r="D40" s="26"/>
      <c r="E40" s="90"/>
      <c r="F40" s="19"/>
      <c r="G40" s="33"/>
      <c r="H40" s="18"/>
      <c r="I40" s="18"/>
      <c r="J40" s="18"/>
      <c r="K40" s="18"/>
      <c r="L40" s="52"/>
      <c r="M40" s="18"/>
      <c r="N40" s="18"/>
      <c r="O40" s="18"/>
    </row>
    <row r="41" spans="1:15">
      <c r="A41" s="171"/>
      <c r="B41" s="171"/>
      <c r="C41" s="171"/>
      <c r="D41" s="26">
        <v>500</v>
      </c>
      <c r="E41" s="90"/>
      <c r="F41" s="89">
        <v>500</v>
      </c>
      <c r="G41" s="33"/>
      <c r="H41" s="18"/>
      <c r="I41" s="18"/>
      <c r="J41" s="18"/>
      <c r="K41" s="18"/>
      <c r="L41" s="52"/>
      <c r="M41" s="18"/>
      <c r="N41" s="18"/>
      <c r="O41" s="18"/>
    </row>
    <row r="42" spans="1:15">
      <c r="A42" s="172"/>
      <c r="B42" s="172"/>
      <c r="C42" s="172"/>
      <c r="D42" s="28"/>
      <c r="E42" s="31"/>
      <c r="F42" s="31"/>
      <c r="G42" s="29"/>
      <c r="H42" s="30"/>
      <c r="I42" s="30"/>
      <c r="J42" s="30"/>
      <c r="K42" s="30"/>
      <c r="L42" s="53"/>
      <c r="M42" s="30"/>
      <c r="N42" s="30"/>
      <c r="O42" s="30"/>
    </row>
    <row r="43" spans="1:15">
      <c r="A43" s="170">
        <v>5</v>
      </c>
      <c r="B43" s="176" t="s">
        <v>61</v>
      </c>
      <c r="C43" s="179" t="s">
        <v>62</v>
      </c>
      <c r="D43" s="19"/>
      <c r="E43" s="19"/>
      <c r="F43" s="19"/>
      <c r="G43" s="24"/>
      <c r="H43" s="93">
        <v>12</v>
      </c>
      <c r="I43" s="93">
        <v>150</v>
      </c>
      <c r="J43" s="93">
        <f>ROUNDUP(((B13-B16-B16)/I43)+1,0)</f>
        <v>22</v>
      </c>
      <c r="K43" s="93">
        <f>2*2*H43</f>
        <v>48</v>
      </c>
      <c r="L43" s="94">
        <f>(E44+D44+G44-K43)*0.001</f>
        <v>3.552</v>
      </c>
      <c r="M43" s="94">
        <f>H43^2/162.2</f>
        <v>0.88779284833538852</v>
      </c>
      <c r="N43" s="94">
        <f>M43*L43*J43</f>
        <v>69.375684340320603</v>
      </c>
      <c r="O43" s="16"/>
    </row>
    <row r="44" spans="1:15">
      <c r="A44" s="171"/>
      <c r="B44" s="177"/>
      <c r="C44" s="180"/>
      <c r="D44" s="19">
        <f>B14-B16</f>
        <v>125</v>
      </c>
      <c r="E44" s="182">
        <f>B12-B16-B16</f>
        <v>3350</v>
      </c>
      <c r="F44" s="183"/>
      <c r="G44" s="32">
        <f>D44</f>
        <v>125</v>
      </c>
      <c r="H44" s="18"/>
      <c r="I44" s="18"/>
      <c r="J44" s="18"/>
      <c r="K44" s="18"/>
      <c r="L44" s="52"/>
      <c r="M44" s="18"/>
      <c r="N44" s="18"/>
      <c r="O44" s="18"/>
    </row>
    <row r="45" spans="1:15">
      <c r="A45" s="171"/>
      <c r="B45" s="177"/>
      <c r="C45" s="180"/>
      <c r="D45" s="19"/>
      <c r="E45" s="19"/>
      <c r="F45" s="19"/>
      <c r="G45" s="32"/>
      <c r="H45" s="18"/>
      <c r="I45" s="18"/>
      <c r="J45" s="18"/>
      <c r="K45" s="18"/>
      <c r="L45" s="52"/>
      <c r="M45" s="18"/>
      <c r="N45" s="18"/>
      <c r="O45" s="18"/>
    </row>
    <row r="46" spans="1:15">
      <c r="A46" s="172"/>
      <c r="B46" s="178"/>
      <c r="C46" s="181"/>
      <c r="D46" s="31"/>
      <c r="E46" s="31"/>
      <c r="F46" s="31"/>
      <c r="G46" s="31"/>
      <c r="H46" s="30"/>
      <c r="I46" s="30"/>
      <c r="J46" s="30"/>
      <c r="K46" s="30"/>
      <c r="L46" s="53"/>
      <c r="M46" s="30"/>
      <c r="N46" s="30"/>
      <c r="O46" s="30"/>
    </row>
    <row r="47" spans="1:15">
      <c r="A47" s="170">
        <v>11</v>
      </c>
      <c r="B47" s="176" t="s">
        <v>61</v>
      </c>
      <c r="C47" s="179" t="s">
        <v>63</v>
      </c>
      <c r="D47" s="19"/>
      <c r="E47" s="19"/>
      <c r="F47" s="19"/>
      <c r="G47" s="24"/>
      <c r="H47" s="93">
        <v>12</v>
      </c>
      <c r="I47" s="93">
        <v>150</v>
      </c>
      <c r="J47" s="93">
        <f>ROUNDUP(((B12-B16-B16)/I47)+1,0)</f>
        <v>24</v>
      </c>
      <c r="K47" s="93">
        <f>2*2*H47</f>
        <v>48</v>
      </c>
      <c r="L47" s="94">
        <f>(E48+D48+G48-K47)*0.001</f>
        <v>3.2520000000000002</v>
      </c>
      <c r="M47" s="94">
        <f>H47^2/162.2</f>
        <v>0.88779284833538852</v>
      </c>
      <c r="N47" s="94">
        <f>M47*L47*J47</f>
        <v>69.290456226880409</v>
      </c>
      <c r="O47" s="16"/>
    </row>
    <row r="48" spans="1:15">
      <c r="A48" s="171"/>
      <c r="B48" s="177"/>
      <c r="C48" s="180"/>
      <c r="D48" s="19">
        <f>D44</f>
        <v>125</v>
      </c>
      <c r="E48" s="182">
        <f>B13-B16-B16</f>
        <v>3050</v>
      </c>
      <c r="F48" s="183"/>
      <c r="G48" s="32">
        <f>G44</f>
        <v>125</v>
      </c>
      <c r="H48" s="18"/>
      <c r="I48" s="18"/>
      <c r="J48" s="18"/>
      <c r="K48" s="18"/>
      <c r="L48" s="52"/>
      <c r="M48" s="18"/>
      <c r="N48" s="18"/>
      <c r="O48" s="18"/>
    </row>
    <row r="49" spans="1:16">
      <c r="A49" s="171"/>
      <c r="B49" s="177"/>
      <c r="C49" s="180"/>
      <c r="D49" s="19"/>
      <c r="E49" s="19"/>
      <c r="F49" s="19"/>
      <c r="G49" s="32"/>
      <c r="H49" s="18"/>
      <c r="I49" s="18"/>
      <c r="J49" s="18"/>
      <c r="K49" s="18"/>
      <c r="L49" s="52"/>
      <c r="M49" s="18"/>
      <c r="N49" s="18"/>
      <c r="O49" s="18"/>
    </row>
    <row r="50" spans="1:16">
      <c r="A50" s="172"/>
      <c r="B50" s="178"/>
      <c r="C50" s="181"/>
      <c r="D50" s="19"/>
      <c r="E50" s="19"/>
      <c r="F50" s="19"/>
      <c r="G50" s="19"/>
      <c r="H50" s="18"/>
      <c r="I50" s="18"/>
      <c r="J50" s="18"/>
      <c r="K50" s="18"/>
      <c r="L50" s="52"/>
      <c r="M50" s="18"/>
      <c r="N50" s="18"/>
      <c r="O50" s="18"/>
    </row>
    <row r="51" spans="1:16">
      <c r="A51" s="170">
        <v>12</v>
      </c>
      <c r="B51" s="170" t="s">
        <v>61</v>
      </c>
      <c r="C51" s="179" t="s">
        <v>64</v>
      </c>
      <c r="D51" s="20"/>
      <c r="E51" s="173">
        <f>1000-75-75</f>
        <v>850</v>
      </c>
      <c r="F51" s="173"/>
      <c r="G51" s="21"/>
      <c r="H51" s="96">
        <v>10</v>
      </c>
      <c r="I51" s="93">
        <v>150</v>
      </c>
      <c r="J51" s="93">
        <f>ROUND((E56/I51)+(D57/I51)*2+1,0)</f>
        <v>21</v>
      </c>
      <c r="K51" s="93">
        <f>2*4*H51</f>
        <v>80</v>
      </c>
      <c r="L51" s="94">
        <f>(D54+D52+E51+G52+G54-K51)*0.001</f>
        <v>3.26269722280108</v>
      </c>
      <c r="M51" s="94">
        <f>H51^2/162.2</f>
        <v>0.61652281134401976</v>
      </c>
      <c r="N51" s="94">
        <f>M51*L51*J51</f>
        <v>42.242072551678604</v>
      </c>
      <c r="O51" s="16"/>
      <c r="P51" s="97"/>
    </row>
    <row r="52" spans="1:16">
      <c r="A52" s="171"/>
      <c r="B52" s="171"/>
      <c r="C52" s="180"/>
      <c r="D52" s="34">
        <f>SQRT((1250-75)^2+(300-75)^2)</f>
        <v>1196.34861140054</v>
      </c>
      <c r="E52" s="17"/>
      <c r="F52" s="17"/>
      <c r="G52" s="35">
        <f>D52</f>
        <v>1196.34861140054</v>
      </c>
      <c r="H52" s="22"/>
      <c r="I52" s="18"/>
      <c r="J52" s="18"/>
      <c r="K52" s="18"/>
      <c r="L52" s="52"/>
      <c r="M52" s="18"/>
      <c r="N52" s="18"/>
      <c r="O52" s="18"/>
    </row>
    <row r="53" spans="1:16">
      <c r="A53" s="171"/>
      <c r="B53" s="171"/>
      <c r="C53" s="180"/>
      <c r="D53" s="26"/>
      <c r="E53" s="19"/>
      <c r="F53" s="32"/>
      <c r="G53" s="33"/>
      <c r="H53" s="22"/>
      <c r="I53" s="18"/>
      <c r="J53" s="18"/>
      <c r="K53" s="18"/>
      <c r="L53" s="52"/>
      <c r="M53" s="18"/>
      <c r="N53" s="18"/>
      <c r="O53" s="18"/>
    </row>
    <row r="54" spans="1:16">
      <c r="A54" s="171"/>
      <c r="B54" s="171"/>
      <c r="C54" s="180"/>
      <c r="D54" s="36">
        <f>B14-2*B16</f>
        <v>50</v>
      </c>
      <c r="E54" s="32"/>
      <c r="F54" s="19"/>
      <c r="G54" s="37">
        <f>B14-2*B16</f>
        <v>50</v>
      </c>
      <c r="H54" s="22"/>
      <c r="I54" s="18"/>
      <c r="J54" s="18"/>
      <c r="K54" s="18"/>
      <c r="L54" s="52"/>
      <c r="M54" s="18"/>
      <c r="N54" s="18"/>
      <c r="O54" s="18"/>
    </row>
    <row r="55" spans="1:16">
      <c r="A55" s="172"/>
      <c r="B55" s="172"/>
      <c r="C55" s="181"/>
      <c r="D55" s="28"/>
      <c r="E55" s="31"/>
      <c r="F55" s="31"/>
      <c r="G55" s="29"/>
      <c r="H55" s="38"/>
      <c r="I55" s="30"/>
      <c r="J55" s="30"/>
      <c r="K55" s="30"/>
      <c r="L55" s="53"/>
      <c r="M55" s="30"/>
      <c r="N55" s="30"/>
      <c r="O55" s="30"/>
    </row>
    <row r="56" spans="1:16" ht="18" customHeight="1">
      <c r="A56" s="170">
        <v>13</v>
      </c>
      <c r="B56" s="170" t="s">
        <v>61</v>
      </c>
      <c r="C56" s="179" t="s">
        <v>65</v>
      </c>
      <c r="D56" s="20"/>
      <c r="E56" s="173">
        <f>E51</f>
        <v>850</v>
      </c>
      <c r="F56" s="173"/>
      <c r="G56" s="21"/>
      <c r="H56" s="93">
        <v>10</v>
      </c>
      <c r="I56" s="93">
        <v>150</v>
      </c>
      <c r="J56" s="93">
        <f>ROUND((E51/I56)+(D52/I56)*2+1,0)</f>
        <v>23</v>
      </c>
      <c r="K56" s="93">
        <f>2*4*H56</f>
        <v>80</v>
      </c>
      <c r="L56" s="98">
        <f>(E56+D57+G57+D59+G59-K56)/1000</f>
        <v>2.9688091861815353</v>
      </c>
      <c r="M56" s="94">
        <f>H56^2/162.2</f>
        <v>0.61652281134401976</v>
      </c>
      <c r="N56" s="94">
        <f>M56*L56*J56</f>
        <v>42.097787473597606</v>
      </c>
      <c r="O56" s="16"/>
    </row>
    <row r="57" spans="1:16">
      <c r="A57" s="171"/>
      <c r="B57" s="171"/>
      <c r="C57" s="180"/>
      <c r="D57" s="34">
        <f>SQRT((1100-75)^2+(300-75)^2)</f>
        <v>1049.4045930907678</v>
      </c>
      <c r="E57" s="17"/>
      <c r="F57" s="17"/>
      <c r="G57" s="35">
        <f>D57</f>
        <v>1049.4045930907678</v>
      </c>
      <c r="H57" s="18"/>
      <c r="I57" s="18"/>
      <c r="J57" s="18"/>
      <c r="K57" s="18"/>
      <c r="L57" s="52"/>
      <c r="M57" s="18"/>
      <c r="N57" s="18"/>
      <c r="O57" s="18"/>
    </row>
    <row r="58" spans="1:16">
      <c r="A58" s="171"/>
      <c r="B58" s="171"/>
      <c r="C58" s="180"/>
      <c r="D58" s="26"/>
      <c r="E58" s="19"/>
      <c r="F58" s="32"/>
      <c r="G58" s="33"/>
      <c r="H58" s="18"/>
      <c r="I58" s="18"/>
      <c r="J58" s="18"/>
      <c r="K58" s="18"/>
      <c r="L58" s="52"/>
      <c r="M58" s="18"/>
      <c r="N58" s="18"/>
      <c r="O58" s="18"/>
    </row>
    <row r="59" spans="1:16">
      <c r="A59" s="172"/>
      <c r="B59" s="172"/>
      <c r="C59" s="181"/>
      <c r="D59" s="46">
        <f>B14-2*B16</f>
        <v>50</v>
      </c>
      <c r="E59" s="47"/>
      <c r="F59" s="31"/>
      <c r="G59" s="48">
        <f>B14-2*B16</f>
        <v>50</v>
      </c>
      <c r="H59" s="30"/>
      <c r="I59" s="30"/>
      <c r="J59" s="30"/>
      <c r="K59" s="30"/>
      <c r="L59" s="53"/>
      <c r="M59" s="30"/>
      <c r="N59" s="30"/>
      <c r="O59" s="30"/>
    </row>
    <row r="60" spans="1:16">
      <c r="A60" s="49" t="s">
        <v>74</v>
      </c>
      <c r="B60" s="49"/>
      <c r="C60" s="49"/>
      <c r="D60" s="49"/>
      <c r="E60" s="49"/>
      <c r="F60" s="49"/>
      <c r="G60" s="49"/>
      <c r="H60" s="49"/>
      <c r="I60" s="49"/>
      <c r="J60" s="49"/>
      <c r="K60" s="49"/>
      <c r="L60" s="49"/>
      <c r="M60" s="49"/>
      <c r="N60" s="50">
        <f>SUM(N21:N59)</f>
        <v>376.01256039518989</v>
      </c>
      <c r="O60" s="51"/>
    </row>
    <row r="61" spans="1:16">
      <c r="A61" s="49" t="s">
        <v>75</v>
      </c>
      <c r="B61" s="49"/>
      <c r="C61" s="49"/>
      <c r="D61" s="49"/>
      <c r="E61" s="49"/>
      <c r="F61" s="49"/>
      <c r="G61" s="49"/>
      <c r="H61" s="49"/>
      <c r="I61" s="49"/>
      <c r="J61" s="49"/>
      <c r="K61" s="49"/>
      <c r="L61" s="49"/>
      <c r="M61" s="49"/>
      <c r="N61" s="50">
        <f>N60*0.001</f>
        <v>0.37601256039518988</v>
      </c>
      <c r="O61" s="51"/>
    </row>
  </sheetData>
  <mergeCells count="34">
    <mergeCell ref="D5:F5"/>
    <mergeCell ref="A47:A50"/>
    <mergeCell ref="A51:A55"/>
    <mergeCell ref="A56:A59"/>
    <mergeCell ref="B56:B59"/>
    <mergeCell ref="C56:C59"/>
    <mergeCell ref="E56:F56"/>
    <mergeCell ref="B21:B27"/>
    <mergeCell ref="C21:C27"/>
    <mergeCell ref="B28:B32"/>
    <mergeCell ref="C28:C32"/>
    <mergeCell ref="B33:B36"/>
    <mergeCell ref="C33:C36"/>
    <mergeCell ref="B37:B42"/>
    <mergeCell ref="C37:C42"/>
    <mergeCell ref="B47:B50"/>
    <mergeCell ref="C47:C50"/>
    <mergeCell ref="E48:F48"/>
    <mergeCell ref="B51:B55"/>
    <mergeCell ref="C51:C55"/>
    <mergeCell ref="E51:F51"/>
    <mergeCell ref="A33:A36"/>
    <mergeCell ref="E36:F36"/>
    <mergeCell ref="A37:A42"/>
    <mergeCell ref="A43:A46"/>
    <mergeCell ref="B43:B46"/>
    <mergeCell ref="C43:C46"/>
    <mergeCell ref="E44:F44"/>
    <mergeCell ref="A21:A27"/>
    <mergeCell ref="E21:F21"/>
    <mergeCell ref="E27:F27"/>
    <mergeCell ref="A28:A32"/>
    <mergeCell ref="E28:F28"/>
    <mergeCell ref="E32:F32"/>
  </mergeCells>
  <pageMargins left="0.25" right="0.25" top="0.75" bottom="0.75" header="0.3" footer="0.3"/>
  <pageSetup paperSize="9" scale="5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BOQ</vt:lpstr>
      <vt:lpstr>Quantity OHG Full width</vt:lpstr>
      <vt:lpstr>Quantity OHG Half width</vt:lpstr>
      <vt:lpstr>Sheet1</vt:lpstr>
      <vt:lpstr>BBS</vt:lpstr>
      <vt:lpstr>BBS!Print_Area</vt:lpstr>
      <vt:lpstr>BOQ!Print_Area</vt:lpstr>
      <vt:lpstr>'Quantity OHG Full width'!Print_Area</vt:lpstr>
      <vt:lpstr>'Quantity OHG Half width'!Print_Area</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sripali biswas</dc:creator>
  <cp:lastModifiedBy>Vinay Jindal</cp:lastModifiedBy>
  <cp:lastPrinted>2025-09-12T05:42:22Z</cp:lastPrinted>
  <dcterms:created xsi:type="dcterms:W3CDTF">2025-08-14T05:39:43Z</dcterms:created>
  <dcterms:modified xsi:type="dcterms:W3CDTF">2025-09-12T05:42:39Z</dcterms:modified>
</cp:coreProperties>
</file>